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E:\Leman Academy\Budget\FY19\Parker\"/>
    </mc:Choice>
  </mc:AlternateContent>
  <xr:revisionPtr revIDLastSave="0" documentId="13_ncr:1_{71E1E0CC-902E-4E76-A01D-2539A24FF693}" xr6:coauthVersionLast="28" xr6:coauthVersionMax="28" xr10:uidLastSave="{00000000-0000-0000-0000-000000000000}"/>
  <bookViews>
    <workbookView xWindow="0" yWindow="0" windowWidth="16410" windowHeight="7230" activeTab="10" xr2:uid="{00000000-000D-0000-FFFF-FFFF00000000}"/>
  </bookViews>
  <sheets>
    <sheet name="Instructions" sheetId="1" r:id="rId1"/>
    <sheet name="Staffing" sheetId="2" r:id="rId2"/>
    <sheet name="Purchased Services Master" sheetId="3" state="hidden" r:id="rId3"/>
    <sheet name="Assumptions" sheetId="4" r:id="rId4"/>
    <sheet name="Year 0" sheetId="5" r:id="rId5"/>
    <sheet name="Year 1" sheetId="6" r:id="rId6"/>
    <sheet name="Year 2" sheetId="7" r:id="rId7"/>
    <sheet name="Year 3" sheetId="8" r:id="rId8"/>
    <sheet name="Year 4" sheetId="9" r:id="rId9"/>
    <sheet name="Year 5" sheetId="10" r:id="rId10"/>
    <sheet name="Summary Years 0 - 5" sheetId="11" r:id="rId11"/>
    <sheet name="Cash Flow Year 1" sheetId="12" r:id="rId12"/>
  </sheets>
  <calcPr calcId="171027"/>
</workbook>
</file>

<file path=xl/calcChain.xml><?xml version="1.0" encoding="utf-8"?>
<calcChain xmlns="http://schemas.openxmlformats.org/spreadsheetml/2006/main">
  <c r="E29" i="4" l="1"/>
  <c r="F29" i="4"/>
  <c r="G29" i="4"/>
  <c r="D29" i="4"/>
  <c r="D15" i="4"/>
  <c r="E15" i="4"/>
  <c r="F15" i="4"/>
  <c r="G14" i="4"/>
  <c r="G15" i="4"/>
  <c r="F14" i="4"/>
  <c r="E14" i="4"/>
  <c r="C14" i="4"/>
  <c r="AD43" i="2"/>
  <c r="AD44" i="2"/>
  <c r="Y43" i="2"/>
  <c r="Y44" i="2"/>
  <c r="O43" i="2"/>
  <c r="D14" i="4" s="1"/>
  <c r="O44" i="2"/>
  <c r="T43" i="2"/>
  <c r="T44" i="2"/>
  <c r="P14" i="2"/>
  <c r="U24" i="2"/>
  <c r="L24" i="2"/>
  <c r="G24" i="2"/>
  <c r="C167" i="4"/>
  <c r="C166" i="4"/>
  <c r="C146" i="4"/>
  <c r="F54" i="4"/>
  <c r="E54" i="4"/>
  <c r="D54" i="4"/>
  <c r="C54" i="4"/>
  <c r="I63" i="2"/>
  <c r="Q24" i="2" l="1"/>
  <c r="Z24" i="2"/>
  <c r="V24" i="2"/>
  <c r="J43" i="2"/>
  <c r="J44" i="2"/>
  <c r="J45" i="2"/>
  <c r="J46" i="2"/>
  <c r="J47" i="2"/>
  <c r="J48" i="2"/>
  <c r="J49" i="2"/>
  <c r="J50" i="2"/>
  <c r="J51" i="2"/>
  <c r="J52" i="2"/>
  <c r="J53" i="2"/>
  <c r="J54" i="2"/>
  <c r="J55" i="2"/>
  <c r="J56" i="2"/>
  <c r="J57" i="2"/>
  <c r="J58" i="2"/>
  <c r="J59" i="2"/>
  <c r="J60" i="2"/>
  <c r="J61" i="2"/>
  <c r="J62" i="2"/>
  <c r="P26" i="2"/>
  <c r="U26" i="2" s="1"/>
  <c r="L26" i="2"/>
  <c r="G26" i="2"/>
  <c r="P27" i="2"/>
  <c r="U27" i="2" s="1"/>
  <c r="L27" i="2"/>
  <c r="G27" i="2"/>
  <c r="P28" i="2"/>
  <c r="U28" i="2" s="1"/>
  <c r="L28" i="2"/>
  <c r="G28" i="2"/>
  <c r="Q27" i="2" l="1"/>
  <c r="AE24" i="2"/>
  <c r="AF24" i="2" s="1"/>
  <c r="AA24" i="2"/>
  <c r="V26" i="2"/>
  <c r="Z26" i="2"/>
  <c r="Q26" i="2"/>
  <c r="Z27" i="2"/>
  <c r="V27" i="2"/>
  <c r="V28" i="2"/>
  <c r="Z28" i="2"/>
  <c r="Q28" i="2"/>
  <c r="AE26" i="2" l="1"/>
  <c r="AF26" i="2" s="1"/>
  <c r="AA26" i="2"/>
  <c r="AE27" i="2"/>
  <c r="AF27" i="2" s="1"/>
  <c r="AA27" i="2"/>
  <c r="AE28" i="2"/>
  <c r="AF28" i="2" s="1"/>
  <c r="AA28" i="2"/>
  <c r="A101" i="12" l="1"/>
  <c r="A100" i="12"/>
  <c r="A98" i="12"/>
  <c r="A97" i="12"/>
  <c r="A96" i="12"/>
  <c r="A95" i="12"/>
  <c r="A93" i="12"/>
  <c r="A92" i="12"/>
  <c r="A91" i="12"/>
  <c r="A90" i="12"/>
  <c r="A89" i="12"/>
  <c r="A79" i="12"/>
  <c r="A78" i="12"/>
  <c r="A77" i="12"/>
  <c r="A76" i="12"/>
  <c r="A75" i="12"/>
  <c r="A74" i="12"/>
  <c r="A73" i="12"/>
  <c r="A72" i="12"/>
  <c r="A71" i="12"/>
  <c r="A70" i="12"/>
  <c r="A69" i="12"/>
  <c r="A68" i="12"/>
  <c r="A67" i="12"/>
  <c r="A66" i="12"/>
  <c r="A65" i="12"/>
  <c r="A64" i="12"/>
  <c r="A63" i="12"/>
  <c r="A62" i="12"/>
  <c r="A61" i="12"/>
  <c r="A60" i="12"/>
  <c r="G255" i="11"/>
  <c r="F255" i="11"/>
  <c r="E255" i="11"/>
  <c r="D255" i="11"/>
  <c r="C255" i="11"/>
  <c r="G254" i="11"/>
  <c r="F254" i="11"/>
  <c r="E254" i="11"/>
  <c r="D254" i="11"/>
  <c r="C254" i="11"/>
  <c r="B254" i="11"/>
  <c r="G253" i="11"/>
  <c r="F253" i="11"/>
  <c r="E253" i="11"/>
  <c r="D253" i="11"/>
  <c r="C253" i="11"/>
  <c r="G252" i="11"/>
  <c r="F252" i="11"/>
  <c r="E252" i="11"/>
  <c r="D252" i="11"/>
  <c r="C252" i="11"/>
  <c r="G251" i="11"/>
  <c r="F251" i="11"/>
  <c r="E251" i="11"/>
  <c r="D251" i="11"/>
  <c r="C251" i="11"/>
  <c r="G250" i="11"/>
  <c r="F250" i="11"/>
  <c r="E250" i="11"/>
  <c r="D250" i="11"/>
  <c r="C250" i="11"/>
  <c r="G190" i="11"/>
  <c r="F190" i="11"/>
  <c r="E190" i="11"/>
  <c r="D190" i="11"/>
  <c r="C190" i="11"/>
  <c r="B190" i="11"/>
  <c r="G179" i="11"/>
  <c r="A165" i="11"/>
  <c r="A164" i="11"/>
  <c r="A163" i="11"/>
  <c r="A162" i="11"/>
  <c r="A161" i="11"/>
  <c r="A160" i="11"/>
  <c r="A159" i="11"/>
  <c r="A158" i="11"/>
  <c r="B185" i="10"/>
  <c r="G185" i="11" s="1"/>
  <c r="B180" i="10"/>
  <c r="G180" i="11" s="1"/>
  <c r="B179" i="10"/>
  <c r="B178" i="10"/>
  <c r="G178" i="11" s="1"/>
  <c r="B177" i="10"/>
  <c r="G177" i="11" s="1"/>
  <c r="G181" i="11" s="1"/>
  <c r="B173" i="10"/>
  <c r="G173" i="11" s="1"/>
  <c r="B172" i="10"/>
  <c r="G172" i="11" s="1"/>
  <c r="B171" i="10"/>
  <c r="G171" i="11" s="1"/>
  <c r="B170" i="10"/>
  <c r="G170" i="11" s="1"/>
  <c r="B169" i="10"/>
  <c r="G169" i="11" s="1"/>
  <c r="B165" i="10"/>
  <c r="G165" i="11" s="1"/>
  <c r="A165" i="10"/>
  <c r="B164" i="10"/>
  <c r="G164" i="11" s="1"/>
  <c r="A164" i="10"/>
  <c r="B163" i="10"/>
  <c r="G163" i="11" s="1"/>
  <c r="A163" i="10"/>
  <c r="B162" i="10"/>
  <c r="G162" i="11" s="1"/>
  <c r="A162" i="10"/>
  <c r="B161" i="10"/>
  <c r="G161" i="11" s="1"/>
  <c r="A161" i="10"/>
  <c r="B160" i="10"/>
  <c r="G160" i="11" s="1"/>
  <c r="A160" i="10"/>
  <c r="B159" i="10"/>
  <c r="G159" i="11" s="1"/>
  <c r="A159" i="10"/>
  <c r="B158" i="10"/>
  <c r="G158" i="11" s="1"/>
  <c r="A158" i="10"/>
  <c r="B157" i="10"/>
  <c r="G157" i="11" s="1"/>
  <c r="B156" i="10"/>
  <c r="G156" i="11" s="1"/>
  <c r="B155" i="10"/>
  <c r="G155" i="11" s="1"/>
  <c r="B154" i="10"/>
  <c r="G154" i="11" s="1"/>
  <c r="B153" i="10"/>
  <c r="G153" i="11" s="1"/>
  <c r="B152" i="10"/>
  <c r="G152" i="11" s="1"/>
  <c r="B151" i="10"/>
  <c r="G151" i="11" s="1"/>
  <c r="B150" i="10"/>
  <c r="G150" i="11" s="1"/>
  <c r="B149" i="10"/>
  <c r="G149" i="11" s="1"/>
  <c r="B148" i="10"/>
  <c r="G148" i="11" s="1"/>
  <c r="B147" i="10"/>
  <c r="G147" i="11" s="1"/>
  <c r="B146" i="10"/>
  <c r="G146" i="11" s="1"/>
  <c r="B145" i="10"/>
  <c r="G145" i="11" s="1"/>
  <c r="B144" i="10"/>
  <c r="G144" i="11" s="1"/>
  <c r="B143" i="10"/>
  <c r="G143" i="11" s="1"/>
  <c r="B142" i="10"/>
  <c r="G142" i="11" s="1"/>
  <c r="B141" i="10"/>
  <c r="G141" i="11" s="1"/>
  <c r="B140" i="10"/>
  <c r="G140" i="11" s="1"/>
  <c r="B139" i="10"/>
  <c r="G139" i="11" s="1"/>
  <c r="B138" i="10"/>
  <c r="G138" i="11" s="1"/>
  <c r="B129" i="10"/>
  <c r="G129" i="11" s="1"/>
  <c r="B125" i="10"/>
  <c r="G125" i="11" s="1"/>
  <c r="B117" i="10"/>
  <c r="G117" i="11" s="1"/>
  <c r="B104" i="10"/>
  <c r="G104" i="11" s="1"/>
  <c r="B103" i="10"/>
  <c r="G103" i="11" s="1"/>
  <c r="B101" i="10"/>
  <c r="G101" i="11" s="1"/>
  <c r="B97" i="10"/>
  <c r="G97" i="11" s="1"/>
  <c r="B92" i="10"/>
  <c r="B91" i="10"/>
  <c r="G91" i="11" s="1"/>
  <c r="B90" i="10"/>
  <c r="G90" i="11" s="1"/>
  <c r="B89" i="10"/>
  <c r="G89" i="11" s="1"/>
  <c r="B86" i="10"/>
  <c r="B85" i="10"/>
  <c r="G85" i="11" s="1"/>
  <c r="B84" i="10"/>
  <c r="G84" i="11" s="1"/>
  <c r="B83" i="10"/>
  <c r="G83" i="11" s="1"/>
  <c r="B78" i="10"/>
  <c r="G78" i="11" s="1"/>
  <c r="B73" i="10"/>
  <c r="G73" i="11" s="1"/>
  <c r="B72" i="10"/>
  <c r="G72" i="11" s="1"/>
  <c r="B71" i="10"/>
  <c r="G71" i="11" s="1"/>
  <c r="B70" i="10"/>
  <c r="G70" i="11" s="1"/>
  <c r="B65" i="10"/>
  <c r="G65" i="11" s="1"/>
  <c r="B64" i="10"/>
  <c r="G64" i="11" s="1"/>
  <c r="B43" i="10"/>
  <c r="G43" i="11" s="1"/>
  <c r="B42" i="10"/>
  <c r="G42" i="11" s="1"/>
  <c r="B25" i="10"/>
  <c r="G25" i="11" s="1"/>
  <c r="G26" i="11" s="1"/>
  <c r="B21" i="10"/>
  <c r="G21" i="11" s="1"/>
  <c r="B15" i="10"/>
  <c r="G15" i="11" s="1"/>
  <c r="B14" i="10"/>
  <c r="G14" i="11" s="1"/>
  <c r="B11" i="10"/>
  <c r="G11" i="11" s="1"/>
  <c r="B10" i="10"/>
  <c r="G10" i="11" s="1"/>
  <c r="B185" i="9"/>
  <c r="F185" i="11" s="1"/>
  <c r="B180" i="9"/>
  <c r="F180" i="11" s="1"/>
  <c r="B179" i="9"/>
  <c r="F179" i="11" s="1"/>
  <c r="B178" i="9"/>
  <c r="F178" i="11" s="1"/>
  <c r="B177" i="9"/>
  <c r="F177" i="11" s="1"/>
  <c r="B173" i="9"/>
  <c r="F173" i="11" s="1"/>
  <c r="B172" i="9"/>
  <c r="F172" i="11" s="1"/>
  <c r="B171" i="9"/>
  <c r="F171" i="11" s="1"/>
  <c r="B170" i="9"/>
  <c r="F170" i="11" s="1"/>
  <c r="B169" i="9"/>
  <c r="F169" i="11" s="1"/>
  <c r="B165" i="9"/>
  <c r="F165" i="11" s="1"/>
  <c r="A165" i="9"/>
  <c r="B164" i="9"/>
  <c r="F164" i="11" s="1"/>
  <c r="A164" i="9"/>
  <c r="B163" i="9"/>
  <c r="F163" i="11" s="1"/>
  <c r="A163" i="9"/>
  <c r="B162" i="9"/>
  <c r="F162" i="11" s="1"/>
  <c r="A162" i="9"/>
  <c r="B161" i="9"/>
  <c r="F161" i="11" s="1"/>
  <c r="A161" i="9"/>
  <c r="B160" i="9"/>
  <c r="F160" i="11" s="1"/>
  <c r="A160" i="9"/>
  <c r="B159" i="9"/>
  <c r="F159" i="11" s="1"/>
  <c r="A159" i="9"/>
  <c r="B158" i="9"/>
  <c r="F158" i="11" s="1"/>
  <c r="A158" i="9"/>
  <c r="B157" i="9"/>
  <c r="F157" i="11" s="1"/>
  <c r="B156" i="9"/>
  <c r="F156" i="11" s="1"/>
  <c r="B155" i="9"/>
  <c r="F155" i="11" s="1"/>
  <c r="B154" i="9"/>
  <c r="F154" i="11" s="1"/>
  <c r="B153" i="9"/>
  <c r="F153" i="11" s="1"/>
  <c r="B152" i="9"/>
  <c r="F152" i="11" s="1"/>
  <c r="B151" i="9"/>
  <c r="F151" i="11" s="1"/>
  <c r="B150" i="9"/>
  <c r="F150" i="11" s="1"/>
  <c r="B149" i="9"/>
  <c r="F149" i="11" s="1"/>
  <c r="B148" i="9"/>
  <c r="F148" i="11" s="1"/>
  <c r="B147" i="9"/>
  <c r="F147" i="11" s="1"/>
  <c r="B146" i="9"/>
  <c r="F146" i="11" s="1"/>
  <c r="B145" i="9"/>
  <c r="F145" i="11" s="1"/>
  <c r="B144" i="9"/>
  <c r="F144" i="11" s="1"/>
  <c r="B143" i="9"/>
  <c r="F143" i="11" s="1"/>
  <c r="B142" i="9"/>
  <c r="F142" i="11" s="1"/>
  <c r="B141" i="9"/>
  <c r="F141" i="11" s="1"/>
  <c r="B140" i="9"/>
  <c r="F140" i="11" s="1"/>
  <c r="B139" i="9"/>
  <c r="F139" i="11" s="1"/>
  <c r="B138" i="9"/>
  <c r="F138" i="11" s="1"/>
  <c r="B129" i="9"/>
  <c r="F129" i="11" s="1"/>
  <c r="B125" i="9"/>
  <c r="F125" i="11" s="1"/>
  <c r="B117" i="9"/>
  <c r="F117" i="11" s="1"/>
  <c r="B104" i="9"/>
  <c r="F104" i="11" s="1"/>
  <c r="B103" i="9"/>
  <c r="F103" i="11" s="1"/>
  <c r="B101" i="9"/>
  <c r="F101" i="11" s="1"/>
  <c r="B97" i="9"/>
  <c r="F97" i="11" s="1"/>
  <c r="B91" i="9"/>
  <c r="F91" i="11" s="1"/>
  <c r="B90" i="9"/>
  <c r="F90" i="11" s="1"/>
  <c r="B89" i="9"/>
  <c r="F89" i="11" s="1"/>
  <c r="B85" i="9"/>
  <c r="F85" i="11" s="1"/>
  <c r="B84" i="9"/>
  <c r="F84" i="11" s="1"/>
  <c r="B83" i="9"/>
  <c r="F83" i="11" s="1"/>
  <c r="B78" i="9"/>
  <c r="F78" i="11" s="1"/>
  <c r="B73" i="9"/>
  <c r="F73" i="11" s="1"/>
  <c r="B72" i="9"/>
  <c r="F72" i="11" s="1"/>
  <c r="B71" i="9"/>
  <c r="F71" i="11" s="1"/>
  <c r="B70" i="9"/>
  <c r="F70" i="11" s="1"/>
  <c r="B65" i="9"/>
  <c r="F65" i="11" s="1"/>
  <c r="B64" i="9"/>
  <c r="F64" i="11" s="1"/>
  <c r="B43" i="9"/>
  <c r="F43" i="11" s="1"/>
  <c r="B42" i="9"/>
  <c r="F42" i="11" s="1"/>
  <c r="B25" i="9"/>
  <c r="F25" i="11" s="1"/>
  <c r="F26" i="11" s="1"/>
  <c r="B21" i="9"/>
  <c r="F21" i="11" s="1"/>
  <c r="B15" i="9"/>
  <c r="F15" i="11" s="1"/>
  <c r="B14" i="9"/>
  <c r="F14" i="11" s="1"/>
  <c r="B11" i="9"/>
  <c r="F11" i="11" s="1"/>
  <c r="B10" i="9"/>
  <c r="F10" i="11" s="1"/>
  <c r="B185" i="8"/>
  <c r="E185" i="11" s="1"/>
  <c r="B180" i="8"/>
  <c r="E180" i="11" s="1"/>
  <c r="B179" i="8"/>
  <c r="E179" i="11" s="1"/>
  <c r="B178" i="8"/>
  <c r="E178" i="11" s="1"/>
  <c r="B177" i="8"/>
  <c r="E177" i="11" s="1"/>
  <c r="B173" i="8"/>
  <c r="E173" i="11" s="1"/>
  <c r="B172" i="8"/>
  <c r="E172" i="11" s="1"/>
  <c r="B171" i="8"/>
  <c r="E171" i="11" s="1"/>
  <c r="B170" i="8"/>
  <c r="E170" i="11" s="1"/>
  <c r="B169" i="8"/>
  <c r="E169" i="11" s="1"/>
  <c r="B165" i="8"/>
  <c r="E165" i="11" s="1"/>
  <c r="A165" i="8"/>
  <c r="B164" i="8"/>
  <c r="E164" i="11" s="1"/>
  <c r="A164" i="8"/>
  <c r="B163" i="8"/>
  <c r="E163" i="11" s="1"/>
  <c r="A163" i="8"/>
  <c r="B162" i="8"/>
  <c r="E162" i="11" s="1"/>
  <c r="A162" i="8"/>
  <c r="B161" i="8"/>
  <c r="E161" i="11" s="1"/>
  <c r="A161" i="8"/>
  <c r="B160" i="8"/>
  <c r="E160" i="11" s="1"/>
  <c r="A160" i="8"/>
  <c r="B159" i="8"/>
  <c r="E159" i="11" s="1"/>
  <c r="A159" i="8"/>
  <c r="B158" i="8"/>
  <c r="E158" i="11" s="1"/>
  <c r="A158" i="8"/>
  <c r="B157" i="8"/>
  <c r="E157" i="11" s="1"/>
  <c r="B156" i="8"/>
  <c r="E156" i="11" s="1"/>
  <c r="B155" i="8"/>
  <c r="E155" i="11" s="1"/>
  <c r="B154" i="8"/>
  <c r="E154" i="11" s="1"/>
  <c r="B153" i="8"/>
  <c r="E153" i="11" s="1"/>
  <c r="B152" i="8"/>
  <c r="E152" i="11" s="1"/>
  <c r="B151" i="8"/>
  <c r="E151" i="11" s="1"/>
  <c r="B150" i="8"/>
  <c r="E150" i="11" s="1"/>
  <c r="B149" i="8"/>
  <c r="E149" i="11" s="1"/>
  <c r="B148" i="8"/>
  <c r="E148" i="11" s="1"/>
  <c r="B147" i="8"/>
  <c r="E147" i="11" s="1"/>
  <c r="B146" i="8"/>
  <c r="E146" i="11" s="1"/>
  <c r="B145" i="8"/>
  <c r="E145" i="11" s="1"/>
  <c r="B144" i="8"/>
  <c r="E144" i="11" s="1"/>
  <c r="B143" i="8"/>
  <c r="E143" i="11" s="1"/>
  <c r="B142" i="8"/>
  <c r="E142" i="11" s="1"/>
  <c r="B141" i="8"/>
  <c r="E141" i="11" s="1"/>
  <c r="B140" i="8"/>
  <c r="E140" i="11" s="1"/>
  <c r="B139" i="8"/>
  <c r="E139" i="11" s="1"/>
  <c r="B138" i="8"/>
  <c r="E138" i="11" s="1"/>
  <c r="B129" i="8"/>
  <c r="E129" i="11" s="1"/>
  <c r="B125" i="8"/>
  <c r="E125" i="11" s="1"/>
  <c r="B117" i="8"/>
  <c r="E117" i="11" s="1"/>
  <c r="B104" i="8"/>
  <c r="E104" i="11" s="1"/>
  <c r="B103" i="8"/>
  <c r="E103" i="11" s="1"/>
  <c r="B101" i="8"/>
  <c r="E101" i="11" s="1"/>
  <c r="B97" i="8"/>
  <c r="E97" i="11" s="1"/>
  <c r="B92" i="8"/>
  <c r="B91" i="8"/>
  <c r="E91" i="11" s="1"/>
  <c r="B90" i="8"/>
  <c r="E90" i="11" s="1"/>
  <c r="B89" i="8"/>
  <c r="E89" i="11" s="1"/>
  <c r="E92" i="11" s="1"/>
  <c r="B86" i="8"/>
  <c r="B85" i="8"/>
  <c r="E85" i="11" s="1"/>
  <c r="B84" i="8"/>
  <c r="E84" i="11" s="1"/>
  <c r="B83" i="8"/>
  <c r="E83" i="11" s="1"/>
  <c r="E86" i="11" s="1"/>
  <c r="B78" i="8"/>
  <c r="E78" i="11" s="1"/>
  <c r="B73" i="8"/>
  <c r="E73" i="11" s="1"/>
  <c r="B72" i="8"/>
  <c r="E72" i="11" s="1"/>
  <c r="B71" i="8"/>
  <c r="E71" i="11" s="1"/>
  <c r="B70" i="8"/>
  <c r="E70" i="11" s="1"/>
  <c r="B64" i="8"/>
  <c r="E64" i="11" s="1"/>
  <c r="B43" i="8"/>
  <c r="E43" i="11" s="1"/>
  <c r="B42" i="8"/>
  <c r="E42" i="11" s="1"/>
  <c r="B25" i="8"/>
  <c r="E25" i="11" s="1"/>
  <c r="E26" i="11" s="1"/>
  <c r="B21" i="8"/>
  <c r="E21" i="11" s="1"/>
  <c r="B15" i="8"/>
  <c r="E15" i="11" s="1"/>
  <c r="B14" i="8"/>
  <c r="E14" i="11" s="1"/>
  <c r="B11" i="8"/>
  <c r="E11" i="11" s="1"/>
  <c r="B10" i="8"/>
  <c r="E10" i="11" s="1"/>
  <c r="B185" i="7"/>
  <c r="D185" i="11" s="1"/>
  <c r="B180" i="7"/>
  <c r="D180" i="11" s="1"/>
  <c r="B179" i="7"/>
  <c r="D179" i="11" s="1"/>
  <c r="B178" i="7"/>
  <c r="D178" i="11" s="1"/>
  <c r="B177" i="7"/>
  <c r="D177" i="11" s="1"/>
  <c r="B173" i="7"/>
  <c r="D173" i="11" s="1"/>
  <c r="B172" i="7"/>
  <c r="D172" i="11" s="1"/>
  <c r="B171" i="7"/>
  <c r="D171" i="11" s="1"/>
  <c r="B170" i="7"/>
  <c r="D170" i="11" s="1"/>
  <c r="B169" i="7"/>
  <c r="D169" i="11" s="1"/>
  <c r="B165" i="7"/>
  <c r="D165" i="11" s="1"/>
  <c r="A165" i="7"/>
  <c r="B164" i="7"/>
  <c r="D164" i="11" s="1"/>
  <c r="A164" i="7"/>
  <c r="B163" i="7"/>
  <c r="D163" i="11" s="1"/>
  <c r="A163" i="7"/>
  <c r="B162" i="7"/>
  <c r="D162" i="11" s="1"/>
  <c r="A162" i="7"/>
  <c r="B161" i="7"/>
  <c r="D161" i="11" s="1"/>
  <c r="A161" i="7"/>
  <c r="B160" i="7"/>
  <c r="D160" i="11" s="1"/>
  <c r="A160" i="7"/>
  <c r="B159" i="7"/>
  <c r="D159" i="11" s="1"/>
  <c r="A159" i="7"/>
  <c r="B158" i="7"/>
  <c r="D158" i="11" s="1"/>
  <c r="A158" i="7"/>
  <c r="B157" i="7"/>
  <c r="D157" i="11" s="1"/>
  <c r="B156" i="7"/>
  <c r="D156" i="11" s="1"/>
  <c r="B155" i="7"/>
  <c r="D155" i="11" s="1"/>
  <c r="B154" i="7"/>
  <c r="D154" i="11" s="1"/>
  <c r="B153" i="7"/>
  <c r="D153" i="11" s="1"/>
  <c r="B152" i="7"/>
  <c r="D152" i="11" s="1"/>
  <c r="B151" i="7"/>
  <c r="D151" i="11" s="1"/>
  <c r="B150" i="7"/>
  <c r="D150" i="11" s="1"/>
  <c r="B149" i="7"/>
  <c r="D149" i="11" s="1"/>
  <c r="B148" i="7"/>
  <c r="D148" i="11" s="1"/>
  <c r="B147" i="7"/>
  <c r="D147" i="11" s="1"/>
  <c r="B146" i="7"/>
  <c r="D146" i="11" s="1"/>
  <c r="B145" i="7"/>
  <c r="D145" i="11" s="1"/>
  <c r="B144" i="7"/>
  <c r="D144" i="11" s="1"/>
  <c r="B143" i="7"/>
  <c r="D143" i="11" s="1"/>
  <c r="B142" i="7"/>
  <c r="D142" i="11" s="1"/>
  <c r="B141" i="7"/>
  <c r="D141" i="11" s="1"/>
  <c r="B140" i="7"/>
  <c r="D140" i="11" s="1"/>
  <c r="B139" i="7"/>
  <c r="D139" i="11" s="1"/>
  <c r="B138" i="7"/>
  <c r="D138" i="11" s="1"/>
  <c r="B129" i="7"/>
  <c r="D129" i="11" s="1"/>
  <c r="B125" i="7"/>
  <c r="D125" i="11" s="1"/>
  <c r="B117" i="7"/>
  <c r="D117" i="11" s="1"/>
  <c r="B104" i="7"/>
  <c r="D104" i="11" s="1"/>
  <c r="B103" i="7"/>
  <c r="D103" i="11" s="1"/>
  <c r="B101" i="7"/>
  <c r="D101" i="11" s="1"/>
  <c r="B97" i="7"/>
  <c r="D97" i="11" s="1"/>
  <c r="B91" i="7"/>
  <c r="D91" i="11" s="1"/>
  <c r="B90" i="7"/>
  <c r="D90" i="11" s="1"/>
  <c r="B89" i="7"/>
  <c r="D89" i="11" s="1"/>
  <c r="B85" i="7"/>
  <c r="D85" i="11" s="1"/>
  <c r="B84" i="7"/>
  <c r="D84" i="11" s="1"/>
  <c r="B83" i="7"/>
  <c r="D83" i="11" s="1"/>
  <c r="B78" i="7"/>
  <c r="D78" i="11" s="1"/>
  <c r="B73" i="7"/>
  <c r="D73" i="11" s="1"/>
  <c r="B72" i="7"/>
  <c r="D72" i="11" s="1"/>
  <c r="B71" i="7"/>
  <c r="D71" i="11" s="1"/>
  <c r="B70" i="7"/>
  <c r="D70" i="11" s="1"/>
  <c r="B64" i="7"/>
  <c r="D64" i="11" s="1"/>
  <c r="B43" i="7"/>
  <c r="D43" i="11" s="1"/>
  <c r="B42" i="7"/>
  <c r="D42" i="11" s="1"/>
  <c r="B25" i="7"/>
  <c r="D25" i="11" s="1"/>
  <c r="D26" i="11" s="1"/>
  <c r="B21" i="7"/>
  <c r="D21" i="11" s="1"/>
  <c r="B15" i="7"/>
  <c r="D15" i="11" s="1"/>
  <c r="B14" i="7"/>
  <c r="D14" i="11" s="1"/>
  <c r="B11" i="7"/>
  <c r="D11" i="11" s="1"/>
  <c r="B10" i="7"/>
  <c r="D10" i="11" s="1"/>
  <c r="B185" i="6"/>
  <c r="B180" i="6"/>
  <c r="B179" i="6"/>
  <c r="B178" i="6"/>
  <c r="B177" i="6"/>
  <c r="B173" i="6"/>
  <c r="B172" i="6"/>
  <c r="B171" i="6"/>
  <c r="B170" i="6"/>
  <c r="B169" i="6"/>
  <c r="B165" i="6"/>
  <c r="A165" i="6"/>
  <c r="A87" i="12" s="1"/>
  <c r="B164" i="6"/>
  <c r="A164" i="6"/>
  <c r="A86" i="12" s="1"/>
  <c r="B163" i="6"/>
  <c r="A163" i="6"/>
  <c r="A85" i="12" s="1"/>
  <c r="B162" i="6"/>
  <c r="A162" i="6"/>
  <c r="A84" i="12" s="1"/>
  <c r="B161" i="6"/>
  <c r="A161" i="6"/>
  <c r="A83" i="12" s="1"/>
  <c r="B160" i="6"/>
  <c r="A160" i="6"/>
  <c r="A82" i="12" s="1"/>
  <c r="B159" i="6"/>
  <c r="A159" i="6"/>
  <c r="A81" i="12" s="1"/>
  <c r="B158" i="6"/>
  <c r="A158" i="6"/>
  <c r="A80" i="12" s="1"/>
  <c r="B157" i="6"/>
  <c r="B156" i="6"/>
  <c r="B155" i="6"/>
  <c r="B154" i="6"/>
  <c r="B153" i="6"/>
  <c r="B152" i="6"/>
  <c r="B151" i="6"/>
  <c r="B150" i="6"/>
  <c r="B149" i="6"/>
  <c r="B148" i="6"/>
  <c r="B147" i="6"/>
  <c r="B146" i="6"/>
  <c r="B145" i="6"/>
  <c r="B144" i="6"/>
  <c r="B143" i="6"/>
  <c r="B142" i="6"/>
  <c r="B141" i="6"/>
  <c r="B140" i="6"/>
  <c r="B139" i="6"/>
  <c r="B138" i="6"/>
  <c r="B129" i="6"/>
  <c r="C129" i="11" s="1"/>
  <c r="B125" i="6"/>
  <c r="C125" i="11" s="1"/>
  <c r="B117" i="6"/>
  <c r="C117" i="11" s="1"/>
  <c r="B104" i="6"/>
  <c r="C104" i="11" s="1"/>
  <c r="B103" i="6"/>
  <c r="C103" i="11" s="1"/>
  <c r="B101" i="6"/>
  <c r="C101" i="11" s="1"/>
  <c r="B97" i="6"/>
  <c r="C97" i="11" s="1"/>
  <c r="B92" i="6"/>
  <c r="B53" i="12" s="1"/>
  <c r="B91" i="6"/>
  <c r="C91" i="11" s="1"/>
  <c r="B90" i="6"/>
  <c r="C90" i="11" s="1"/>
  <c r="B89" i="6"/>
  <c r="C89" i="11" s="1"/>
  <c r="C92" i="11" s="1"/>
  <c r="B86" i="6"/>
  <c r="B52" i="12" s="1"/>
  <c r="B85" i="6"/>
  <c r="C85" i="11" s="1"/>
  <c r="B84" i="6"/>
  <c r="C84" i="11" s="1"/>
  <c r="B83" i="6"/>
  <c r="C83" i="11" s="1"/>
  <c r="C86" i="11" s="1"/>
  <c r="B78" i="6"/>
  <c r="C78" i="11" s="1"/>
  <c r="B73" i="6"/>
  <c r="C73" i="11" s="1"/>
  <c r="B72" i="6"/>
  <c r="C72" i="11" s="1"/>
  <c r="B71" i="6"/>
  <c r="C71" i="11" s="1"/>
  <c r="B70" i="6"/>
  <c r="C70" i="11" s="1"/>
  <c r="B65" i="6"/>
  <c r="B64" i="6"/>
  <c r="B43" i="6"/>
  <c r="C43" i="11" s="1"/>
  <c r="B42" i="6"/>
  <c r="C42" i="11" s="1"/>
  <c r="B26" i="6"/>
  <c r="B25" i="6"/>
  <c r="B21" i="6"/>
  <c r="B15" i="6"/>
  <c r="B14" i="6"/>
  <c r="B11" i="6"/>
  <c r="B10" i="6"/>
  <c r="B185" i="5"/>
  <c r="B185" i="11" s="1"/>
  <c r="B184" i="5"/>
  <c r="B184" i="11" s="1"/>
  <c r="B186" i="11" s="1"/>
  <c r="B180" i="5"/>
  <c r="B180" i="11" s="1"/>
  <c r="B179" i="5"/>
  <c r="B179" i="11" s="1"/>
  <c r="B178" i="5"/>
  <c r="B178" i="11" s="1"/>
  <c r="B177" i="5"/>
  <c r="B177" i="11" s="1"/>
  <c r="B181" i="11" s="1"/>
  <c r="B173" i="5"/>
  <c r="B173" i="11" s="1"/>
  <c r="B172" i="5"/>
  <c r="B172" i="11" s="1"/>
  <c r="B171" i="5"/>
  <c r="B171" i="11" s="1"/>
  <c r="B170" i="5"/>
  <c r="B170" i="11" s="1"/>
  <c r="B169" i="5"/>
  <c r="B169" i="11" s="1"/>
  <c r="B165" i="5"/>
  <c r="B165" i="11" s="1"/>
  <c r="A165" i="5"/>
  <c r="B164" i="5"/>
  <c r="B164" i="11" s="1"/>
  <c r="A164" i="5"/>
  <c r="B163" i="5"/>
  <c r="B163" i="11" s="1"/>
  <c r="A163" i="5"/>
  <c r="B162" i="5"/>
  <c r="B162" i="11" s="1"/>
  <c r="A162" i="5"/>
  <c r="B161" i="5"/>
  <c r="B161" i="11" s="1"/>
  <c r="A161" i="5"/>
  <c r="B160" i="5"/>
  <c r="B160" i="11" s="1"/>
  <c r="A160" i="5"/>
  <c r="B159" i="5"/>
  <c r="B159" i="11" s="1"/>
  <c r="A159" i="5"/>
  <c r="B158" i="5"/>
  <c r="B158" i="11" s="1"/>
  <c r="A158" i="5"/>
  <c r="B157" i="5"/>
  <c r="B157" i="11" s="1"/>
  <c r="B156" i="5"/>
  <c r="B156" i="11" s="1"/>
  <c r="B155" i="5"/>
  <c r="B155" i="11" s="1"/>
  <c r="B154" i="5"/>
  <c r="B154" i="11" s="1"/>
  <c r="B153" i="5"/>
  <c r="B153" i="11" s="1"/>
  <c r="B152" i="5"/>
  <c r="B152" i="11" s="1"/>
  <c r="B151" i="5"/>
  <c r="B151" i="11" s="1"/>
  <c r="B150" i="5"/>
  <c r="B150" i="11" s="1"/>
  <c r="B149" i="5"/>
  <c r="B149" i="11" s="1"/>
  <c r="B148" i="5"/>
  <c r="B148" i="11" s="1"/>
  <c r="B147" i="5"/>
  <c r="B147" i="11" s="1"/>
  <c r="B146" i="5"/>
  <c r="B146" i="11" s="1"/>
  <c r="B145" i="5"/>
  <c r="B145" i="11" s="1"/>
  <c r="B144" i="5"/>
  <c r="B144" i="11" s="1"/>
  <c r="B143" i="5"/>
  <c r="B143" i="11" s="1"/>
  <c r="B142" i="5"/>
  <c r="B142" i="11" s="1"/>
  <c r="B141" i="5"/>
  <c r="B141" i="11" s="1"/>
  <c r="B140" i="5"/>
  <c r="B140" i="11" s="1"/>
  <c r="B139" i="5"/>
  <c r="B139" i="11" s="1"/>
  <c r="B138" i="5"/>
  <c r="B138" i="11" s="1"/>
  <c r="B129" i="5"/>
  <c r="B129" i="11" s="1"/>
  <c r="B125" i="5"/>
  <c r="B125" i="11" s="1"/>
  <c r="B117" i="5"/>
  <c r="B117" i="11" s="1"/>
  <c r="B104" i="5"/>
  <c r="B104" i="11" s="1"/>
  <c r="B103" i="5"/>
  <c r="B103" i="11" s="1"/>
  <c r="B101" i="5"/>
  <c r="B101" i="11" s="1"/>
  <c r="B97" i="5"/>
  <c r="B97" i="11" s="1"/>
  <c r="B91" i="5"/>
  <c r="B91" i="11" s="1"/>
  <c r="B90" i="5"/>
  <c r="B90" i="11" s="1"/>
  <c r="B89" i="5"/>
  <c r="B89" i="11" s="1"/>
  <c r="B92" i="11" s="1"/>
  <c r="B85" i="5"/>
  <c r="B85" i="11" s="1"/>
  <c r="B84" i="5"/>
  <c r="B84" i="11" s="1"/>
  <c r="B83" i="5"/>
  <c r="B83" i="11" s="1"/>
  <c r="B86" i="11" s="1"/>
  <c r="B78" i="5"/>
  <c r="B78" i="11" s="1"/>
  <c r="B73" i="5"/>
  <c r="B73" i="11" s="1"/>
  <c r="B72" i="5"/>
  <c r="B72" i="11" s="1"/>
  <c r="B71" i="5"/>
  <c r="B71" i="11" s="1"/>
  <c r="B70" i="5"/>
  <c r="B70" i="11" s="1"/>
  <c r="B66" i="5"/>
  <c r="B66" i="11" s="1"/>
  <c r="B65" i="5"/>
  <c r="B65" i="11" s="1"/>
  <c r="B64" i="5"/>
  <c r="B64" i="11" s="1"/>
  <c r="B63" i="5"/>
  <c r="B63" i="11" s="1"/>
  <c r="B62" i="5"/>
  <c r="B62" i="11" s="1"/>
  <c r="B61" i="5"/>
  <c r="B61" i="11" s="1"/>
  <c r="B60" i="5"/>
  <c r="B60" i="11" s="1"/>
  <c r="B59" i="5"/>
  <c r="B59" i="11" s="1"/>
  <c r="B58" i="5"/>
  <c r="B58" i="11" s="1"/>
  <c r="B44" i="5"/>
  <c r="B44" i="11" s="1"/>
  <c r="B43" i="5"/>
  <c r="B43" i="11" s="1"/>
  <c r="B42" i="5"/>
  <c r="B42" i="11" s="1"/>
  <c r="B33" i="5"/>
  <c r="B33" i="11" s="1"/>
  <c r="B32" i="5"/>
  <c r="B32" i="11" s="1"/>
  <c r="B26" i="5"/>
  <c r="B25" i="5"/>
  <c r="B25" i="11" s="1"/>
  <c r="B26" i="11" s="1"/>
  <c r="B21" i="5"/>
  <c r="B21" i="11" s="1"/>
  <c r="B20" i="5"/>
  <c r="B20" i="11" s="1"/>
  <c r="B19" i="5"/>
  <c r="B19" i="11" s="1"/>
  <c r="B15" i="5"/>
  <c r="B15" i="11" s="1"/>
  <c r="B14" i="5"/>
  <c r="B14" i="11" s="1"/>
  <c r="B13" i="5"/>
  <c r="B13" i="11" s="1"/>
  <c r="B12" i="5"/>
  <c r="B12" i="11" s="1"/>
  <c r="B11" i="5"/>
  <c r="B11" i="11" s="1"/>
  <c r="B10" i="5"/>
  <c r="B10" i="11" s="1"/>
  <c r="B9" i="5"/>
  <c r="B9" i="11" s="1"/>
  <c r="B8" i="5"/>
  <c r="B8" i="11" s="1"/>
  <c r="B4" i="5"/>
  <c r="B4" i="11" s="1"/>
  <c r="B3" i="5"/>
  <c r="B3" i="11" s="1"/>
  <c r="J136" i="4"/>
  <c r="G136" i="4"/>
  <c r="B134" i="10" s="1"/>
  <c r="G134" i="11" s="1"/>
  <c r="F136" i="4"/>
  <c r="B134" i="9" s="1"/>
  <c r="F134" i="11" s="1"/>
  <c r="E136" i="4"/>
  <c r="B134" i="8" s="1"/>
  <c r="E134" i="11" s="1"/>
  <c r="D136" i="4"/>
  <c r="B134" i="7" s="1"/>
  <c r="D134" i="11" s="1"/>
  <c r="C136" i="4"/>
  <c r="B134" i="6" s="1"/>
  <c r="C134" i="11" s="1"/>
  <c r="B136" i="4"/>
  <c r="B134" i="5" s="1"/>
  <c r="B134" i="11" s="1"/>
  <c r="J135" i="4"/>
  <c r="G135" i="4"/>
  <c r="B133" i="10" s="1"/>
  <c r="F135" i="4"/>
  <c r="B133" i="9" s="1"/>
  <c r="E135" i="4"/>
  <c r="B133" i="8" s="1"/>
  <c r="D135" i="4"/>
  <c r="B133" i="7" s="1"/>
  <c r="C135" i="4"/>
  <c r="B133" i="6" s="1"/>
  <c r="B135" i="4"/>
  <c r="B133" i="5" s="1"/>
  <c r="J132" i="4"/>
  <c r="J131" i="4"/>
  <c r="G131" i="4"/>
  <c r="B128" i="10" s="1"/>
  <c r="G128" i="11" s="1"/>
  <c r="F131" i="4"/>
  <c r="B128" i="9" s="1"/>
  <c r="F128" i="11" s="1"/>
  <c r="E131" i="4"/>
  <c r="B128" i="8" s="1"/>
  <c r="E128" i="11" s="1"/>
  <c r="D131" i="4"/>
  <c r="B128" i="7" s="1"/>
  <c r="D128" i="11" s="1"/>
  <c r="C131" i="4"/>
  <c r="B128" i="6" s="1"/>
  <c r="C128" i="11" s="1"/>
  <c r="B131" i="4"/>
  <c r="B128" i="5" s="1"/>
  <c r="B128" i="11" s="1"/>
  <c r="J130" i="4"/>
  <c r="G130" i="4"/>
  <c r="B127" i="10" s="1"/>
  <c r="G127" i="11" s="1"/>
  <c r="F130" i="4"/>
  <c r="B127" i="9" s="1"/>
  <c r="F127" i="11" s="1"/>
  <c r="E130" i="4"/>
  <c r="B127" i="8" s="1"/>
  <c r="E127" i="11" s="1"/>
  <c r="D130" i="4"/>
  <c r="B127" i="7" s="1"/>
  <c r="D127" i="11" s="1"/>
  <c r="C130" i="4"/>
  <c r="B127" i="6" s="1"/>
  <c r="C127" i="11" s="1"/>
  <c r="B130" i="4"/>
  <c r="B127" i="5" s="1"/>
  <c r="B127" i="11" s="1"/>
  <c r="J129" i="4"/>
  <c r="G129" i="4"/>
  <c r="B126" i="10" s="1"/>
  <c r="G126" i="11" s="1"/>
  <c r="F129" i="4"/>
  <c r="B126" i="9" s="1"/>
  <c r="F126" i="11" s="1"/>
  <c r="E129" i="4"/>
  <c r="B126" i="8" s="1"/>
  <c r="E126" i="11" s="1"/>
  <c r="D129" i="4"/>
  <c r="B126" i="7" s="1"/>
  <c r="D126" i="11" s="1"/>
  <c r="C129" i="4"/>
  <c r="B126" i="6" s="1"/>
  <c r="C126" i="11" s="1"/>
  <c r="B129" i="4"/>
  <c r="B126" i="5" s="1"/>
  <c r="B126" i="11" s="1"/>
  <c r="J128" i="4"/>
  <c r="J127" i="4"/>
  <c r="G127" i="4"/>
  <c r="B124" i="10" s="1"/>
  <c r="G124" i="11" s="1"/>
  <c r="F127" i="4"/>
  <c r="B124" i="9" s="1"/>
  <c r="F124" i="11" s="1"/>
  <c r="E127" i="4"/>
  <c r="B124" i="8" s="1"/>
  <c r="E124" i="11" s="1"/>
  <c r="D127" i="4"/>
  <c r="B124" i="7" s="1"/>
  <c r="D124" i="11" s="1"/>
  <c r="C127" i="4"/>
  <c r="B124" i="6" s="1"/>
  <c r="C124" i="11" s="1"/>
  <c r="B127" i="4"/>
  <c r="B124" i="5" s="1"/>
  <c r="B124" i="11" s="1"/>
  <c r="J126" i="4"/>
  <c r="B126" i="4"/>
  <c r="B123" i="5" s="1"/>
  <c r="B123" i="11" s="1"/>
  <c r="J125" i="4"/>
  <c r="G125" i="4"/>
  <c r="B122" i="10" s="1"/>
  <c r="G122" i="11" s="1"/>
  <c r="F125" i="4"/>
  <c r="B122" i="9" s="1"/>
  <c r="F122" i="11" s="1"/>
  <c r="E125" i="4"/>
  <c r="B122" i="8" s="1"/>
  <c r="E122" i="11" s="1"/>
  <c r="D125" i="4"/>
  <c r="B122" i="7" s="1"/>
  <c r="D122" i="11" s="1"/>
  <c r="C125" i="4"/>
  <c r="B122" i="6" s="1"/>
  <c r="C122" i="11" s="1"/>
  <c r="B125" i="4"/>
  <c r="B122" i="5" s="1"/>
  <c r="B122" i="11" s="1"/>
  <c r="J124" i="4"/>
  <c r="G124" i="4"/>
  <c r="B121" i="10" s="1"/>
  <c r="G121" i="11" s="1"/>
  <c r="F124" i="4"/>
  <c r="B121" i="9" s="1"/>
  <c r="F121" i="11" s="1"/>
  <c r="E124" i="4"/>
  <c r="B121" i="8" s="1"/>
  <c r="E121" i="11" s="1"/>
  <c r="D124" i="4"/>
  <c r="B121" i="7" s="1"/>
  <c r="D121" i="11" s="1"/>
  <c r="C124" i="4"/>
  <c r="B121" i="6" s="1"/>
  <c r="C121" i="11" s="1"/>
  <c r="B124" i="4"/>
  <c r="B121" i="5" s="1"/>
  <c r="B121" i="11" s="1"/>
  <c r="J123" i="4"/>
  <c r="G123" i="4"/>
  <c r="B120" i="10" s="1"/>
  <c r="G120" i="11" s="1"/>
  <c r="F123" i="4"/>
  <c r="B120" i="9" s="1"/>
  <c r="F120" i="11" s="1"/>
  <c r="E123" i="4"/>
  <c r="B120" i="8" s="1"/>
  <c r="E120" i="11" s="1"/>
  <c r="D123" i="4"/>
  <c r="B120" i="7" s="1"/>
  <c r="D120" i="11" s="1"/>
  <c r="C123" i="4"/>
  <c r="B120" i="6" s="1"/>
  <c r="C120" i="11" s="1"/>
  <c r="B123" i="4"/>
  <c r="B120" i="5" s="1"/>
  <c r="B120" i="11" s="1"/>
  <c r="J122" i="4"/>
  <c r="G122" i="4"/>
  <c r="B119" i="10" s="1"/>
  <c r="G119" i="11" s="1"/>
  <c r="F122" i="4"/>
  <c r="B119" i="9" s="1"/>
  <c r="F119" i="11" s="1"/>
  <c r="E122" i="4"/>
  <c r="B119" i="8" s="1"/>
  <c r="E119" i="11" s="1"/>
  <c r="D122" i="4"/>
  <c r="B119" i="7" s="1"/>
  <c r="D119" i="11" s="1"/>
  <c r="C122" i="4"/>
  <c r="B119" i="6" s="1"/>
  <c r="C119" i="11" s="1"/>
  <c r="B122" i="4"/>
  <c r="B119" i="5" s="1"/>
  <c r="B119" i="11" s="1"/>
  <c r="J121" i="4"/>
  <c r="G121" i="4"/>
  <c r="B118" i="10" s="1"/>
  <c r="G118" i="11" s="1"/>
  <c r="F121" i="4"/>
  <c r="B118" i="9" s="1"/>
  <c r="F118" i="11" s="1"/>
  <c r="E121" i="4"/>
  <c r="B118" i="8" s="1"/>
  <c r="E118" i="11" s="1"/>
  <c r="D121" i="4"/>
  <c r="B118" i="7" s="1"/>
  <c r="D118" i="11" s="1"/>
  <c r="C121" i="4"/>
  <c r="B118" i="6" s="1"/>
  <c r="C118" i="11" s="1"/>
  <c r="B121" i="4"/>
  <c r="B118" i="5" s="1"/>
  <c r="B118" i="11" s="1"/>
  <c r="J120" i="4"/>
  <c r="J119" i="4"/>
  <c r="G119" i="4"/>
  <c r="B116" i="10" s="1"/>
  <c r="G116" i="11" s="1"/>
  <c r="F119" i="4"/>
  <c r="B116" i="9" s="1"/>
  <c r="F116" i="11" s="1"/>
  <c r="E119" i="4"/>
  <c r="B116" i="8" s="1"/>
  <c r="E116" i="11" s="1"/>
  <c r="D119" i="4"/>
  <c r="B116" i="7" s="1"/>
  <c r="D116" i="11" s="1"/>
  <c r="C119" i="4"/>
  <c r="B116" i="6" s="1"/>
  <c r="C116" i="11" s="1"/>
  <c r="B119" i="4"/>
  <c r="B116" i="5" s="1"/>
  <c r="B116" i="11" s="1"/>
  <c r="J118" i="4"/>
  <c r="G118" i="4"/>
  <c r="B115" i="10" s="1"/>
  <c r="F118" i="4"/>
  <c r="B115" i="9" s="1"/>
  <c r="E118" i="4"/>
  <c r="B115" i="8" s="1"/>
  <c r="D118" i="4"/>
  <c r="B115" i="7" s="1"/>
  <c r="C118" i="4"/>
  <c r="B115" i="6" s="1"/>
  <c r="B118" i="4"/>
  <c r="B115" i="5" s="1"/>
  <c r="J115" i="4"/>
  <c r="G115" i="4"/>
  <c r="B111" i="10" s="1"/>
  <c r="G111" i="11" s="1"/>
  <c r="F115" i="4"/>
  <c r="B111" i="9" s="1"/>
  <c r="F111" i="11" s="1"/>
  <c r="E115" i="4"/>
  <c r="B111" i="8" s="1"/>
  <c r="E111" i="11" s="1"/>
  <c r="D115" i="4"/>
  <c r="B111" i="7" s="1"/>
  <c r="D111" i="11" s="1"/>
  <c r="C115" i="4"/>
  <c r="B111" i="6" s="1"/>
  <c r="C111" i="11" s="1"/>
  <c r="B115" i="4"/>
  <c r="B111" i="5" s="1"/>
  <c r="B111" i="11" s="1"/>
  <c r="J114" i="4"/>
  <c r="B114" i="4"/>
  <c r="C114" i="4" s="1"/>
  <c r="J113" i="4"/>
  <c r="G113" i="4"/>
  <c r="B109" i="10" s="1"/>
  <c r="F113" i="4"/>
  <c r="B109" i="9" s="1"/>
  <c r="E113" i="4"/>
  <c r="B109" i="8" s="1"/>
  <c r="D113" i="4"/>
  <c r="B109" i="7" s="1"/>
  <c r="C113" i="4"/>
  <c r="B109" i="6" s="1"/>
  <c r="B113" i="4"/>
  <c r="B109" i="5" s="1"/>
  <c r="J110" i="4"/>
  <c r="G110" i="4"/>
  <c r="B105" i="10" s="1"/>
  <c r="G105" i="11" s="1"/>
  <c r="F110" i="4"/>
  <c r="B105" i="9" s="1"/>
  <c r="F105" i="11" s="1"/>
  <c r="E110" i="4"/>
  <c r="B105" i="8" s="1"/>
  <c r="E105" i="11" s="1"/>
  <c r="D110" i="4"/>
  <c r="B105" i="7" s="1"/>
  <c r="D105" i="11" s="1"/>
  <c r="C110" i="4"/>
  <c r="B105" i="6" s="1"/>
  <c r="C105" i="11" s="1"/>
  <c r="B110" i="4"/>
  <c r="B105" i="5" s="1"/>
  <c r="B105" i="11" s="1"/>
  <c r="J107" i="4"/>
  <c r="B107" i="4"/>
  <c r="B102" i="5" s="1"/>
  <c r="B102" i="11" s="1"/>
  <c r="J106" i="4"/>
  <c r="J103" i="4"/>
  <c r="J102" i="4"/>
  <c r="G102" i="4"/>
  <c r="B96" i="10" s="1"/>
  <c r="G96" i="11" s="1"/>
  <c r="F102" i="4"/>
  <c r="B96" i="9" s="1"/>
  <c r="F96" i="11" s="1"/>
  <c r="E102" i="4"/>
  <c r="B96" i="8" s="1"/>
  <c r="E96" i="11" s="1"/>
  <c r="D102" i="4"/>
  <c r="B96" i="7" s="1"/>
  <c r="D96" i="11" s="1"/>
  <c r="C102" i="4"/>
  <c r="B96" i="6" s="1"/>
  <c r="C96" i="11" s="1"/>
  <c r="B102" i="4"/>
  <c r="B96" i="5" s="1"/>
  <c r="B96" i="11" s="1"/>
  <c r="J101" i="4"/>
  <c r="G101" i="4"/>
  <c r="B95" i="10" s="1"/>
  <c r="F101" i="4"/>
  <c r="B95" i="9" s="1"/>
  <c r="E101" i="4"/>
  <c r="B95" i="8" s="1"/>
  <c r="D101" i="4"/>
  <c r="B95" i="7" s="1"/>
  <c r="C101" i="4"/>
  <c r="B95" i="6" s="1"/>
  <c r="B101" i="4"/>
  <c r="B95" i="5" s="1"/>
  <c r="J98" i="4"/>
  <c r="J97" i="4"/>
  <c r="J96" i="4"/>
  <c r="J93" i="4"/>
  <c r="J92" i="4"/>
  <c r="J91" i="4"/>
  <c r="J88" i="4"/>
  <c r="G88" i="4"/>
  <c r="B79" i="10" s="1"/>
  <c r="F88" i="4"/>
  <c r="B79" i="9" s="1"/>
  <c r="F79" i="11" s="1"/>
  <c r="E88" i="4"/>
  <c r="B79" i="8" s="1"/>
  <c r="D88" i="4"/>
  <c r="B79" i="7" s="1"/>
  <c r="D79" i="11" s="1"/>
  <c r="C88" i="4"/>
  <c r="B79" i="6" s="1"/>
  <c r="B88" i="4"/>
  <c r="B79" i="5" s="1"/>
  <c r="B79" i="11" s="1"/>
  <c r="J87" i="4"/>
  <c r="J84" i="4"/>
  <c r="G84" i="4"/>
  <c r="B74" i="10" s="1"/>
  <c r="G74" i="11" s="1"/>
  <c r="F84" i="4"/>
  <c r="B74" i="9" s="1"/>
  <c r="F74" i="11" s="1"/>
  <c r="E84" i="4"/>
  <c r="B74" i="8" s="1"/>
  <c r="E74" i="11" s="1"/>
  <c r="D84" i="4"/>
  <c r="B74" i="7" s="1"/>
  <c r="D74" i="11" s="1"/>
  <c r="C84" i="4"/>
  <c r="B74" i="6" s="1"/>
  <c r="C74" i="11" s="1"/>
  <c r="B84" i="4"/>
  <c r="B74" i="5" s="1"/>
  <c r="B74" i="11" s="1"/>
  <c r="J83" i="4"/>
  <c r="J82" i="4"/>
  <c r="J81" i="4"/>
  <c r="J80" i="4"/>
  <c r="J78" i="4"/>
  <c r="J77" i="4"/>
  <c r="J76" i="4"/>
  <c r="E76" i="4"/>
  <c r="B65" i="8" s="1"/>
  <c r="E65" i="11" s="1"/>
  <c r="D76" i="4"/>
  <c r="B65" i="7" s="1"/>
  <c r="D65" i="11" s="1"/>
  <c r="J74" i="4"/>
  <c r="J73" i="4"/>
  <c r="J72" i="4"/>
  <c r="J71" i="4"/>
  <c r="J70" i="4"/>
  <c r="J69" i="4"/>
  <c r="G56" i="4"/>
  <c r="B44" i="10" s="1"/>
  <c r="G44" i="11" s="1"/>
  <c r="F56" i="4"/>
  <c r="E56" i="4"/>
  <c r="B44" i="8" s="1"/>
  <c r="E44" i="11" s="1"/>
  <c r="D56" i="4"/>
  <c r="C56" i="4"/>
  <c r="B44" i="6" s="1"/>
  <c r="C44" i="11" s="1"/>
  <c r="E28" i="4"/>
  <c r="F28" i="4" s="1"/>
  <c r="D28" i="4"/>
  <c r="D27" i="4"/>
  <c r="E27" i="4" s="1"/>
  <c r="F27" i="4" s="1"/>
  <c r="F8" i="4"/>
  <c r="E8" i="4"/>
  <c r="A1" i="4"/>
  <c r="A1" i="10" s="1"/>
  <c r="B45" i="3"/>
  <c r="AC63" i="2"/>
  <c r="AB63" i="2"/>
  <c r="G43" i="4" s="1"/>
  <c r="X63" i="2"/>
  <c r="W63" i="2"/>
  <c r="F43" i="4" s="1"/>
  <c r="S63" i="2"/>
  <c r="R63" i="2"/>
  <c r="E43" i="4" s="1"/>
  <c r="N63" i="2"/>
  <c r="M63" i="2"/>
  <c r="D43" i="4" s="1"/>
  <c r="H63" i="2"/>
  <c r="C43" i="4" s="1"/>
  <c r="E63" i="2"/>
  <c r="D63" i="2"/>
  <c r="C63" i="2"/>
  <c r="P62" i="2"/>
  <c r="U62" i="2" s="1"/>
  <c r="Z62" i="2" s="1"/>
  <c r="L62" i="2"/>
  <c r="G62" i="2"/>
  <c r="P61" i="2"/>
  <c r="U61" i="2" s="1"/>
  <c r="L61" i="2"/>
  <c r="C42" i="4" s="1"/>
  <c r="B33" i="6" s="1"/>
  <c r="C33" i="11" s="1"/>
  <c r="G61" i="2"/>
  <c r="P60" i="2"/>
  <c r="Q60" i="2" s="1"/>
  <c r="L60" i="2"/>
  <c r="G60" i="2"/>
  <c r="P59" i="2"/>
  <c r="U59" i="2" s="1"/>
  <c r="L59" i="2"/>
  <c r="G59" i="2"/>
  <c r="P58" i="2"/>
  <c r="Q58" i="2" s="1"/>
  <c r="L58" i="2"/>
  <c r="G58" i="2"/>
  <c r="P57" i="2"/>
  <c r="U57" i="2" s="1"/>
  <c r="L57" i="2"/>
  <c r="G57" i="2"/>
  <c r="Q56" i="2"/>
  <c r="P56" i="2"/>
  <c r="U56" i="2" s="1"/>
  <c r="Z56" i="2" s="1"/>
  <c r="L56" i="2"/>
  <c r="G56" i="2"/>
  <c r="P55" i="2"/>
  <c r="U55" i="2" s="1"/>
  <c r="L55" i="2"/>
  <c r="G55" i="2"/>
  <c r="Q54" i="2"/>
  <c r="P54" i="2"/>
  <c r="U54" i="2" s="1"/>
  <c r="Z54" i="2" s="1"/>
  <c r="L54" i="2"/>
  <c r="G54" i="2"/>
  <c r="P53" i="2"/>
  <c r="U53" i="2" s="1"/>
  <c r="L53" i="2"/>
  <c r="G53" i="2"/>
  <c r="Q52" i="2"/>
  <c r="P52" i="2"/>
  <c r="U52" i="2" s="1"/>
  <c r="Z52" i="2" s="1"/>
  <c r="L52" i="2"/>
  <c r="G52" i="2"/>
  <c r="P51" i="2"/>
  <c r="U51" i="2" s="1"/>
  <c r="L51" i="2"/>
  <c r="G51" i="2"/>
  <c r="Q50" i="2"/>
  <c r="P50" i="2"/>
  <c r="U50" i="2" s="1"/>
  <c r="Z50" i="2" s="1"/>
  <c r="L50" i="2"/>
  <c r="G50" i="2"/>
  <c r="P49" i="2"/>
  <c r="U49" i="2" s="1"/>
  <c r="L49" i="2"/>
  <c r="G49" i="2"/>
  <c r="Q48" i="2"/>
  <c r="P48" i="2"/>
  <c r="U48" i="2" s="1"/>
  <c r="Z48" i="2" s="1"/>
  <c r="L48" i="2"/>
  <c r="G48" i="2"/>
  <c r="P47" i="2"/>
  <c r="U47" i="2" s="1"/>
  <c r="L47" i="2"/>
  <c r="G47" i="2"/>
  <c r="P46" i="2"/>
  <c r="U46" i="2" s="1"/>
  <c r="Z46" i="2" s="1"/>
  <c r="L46" i="2"/>
  <c r="G46" i="2"/>
  <c r="P45" i="2"/>
  <c r="U45" i="2" s="1"/>
  <c r="L45" i="2"/>
  <c r="G45" i="2"/>
  <c r="Q44" i="2"/>
  <c r="P44" i="2"/>
  <c r="U44" i="2" s="1"/>
  <c r="Z44" i="2" s="1"/>
  <c r="AE44" i="2" s="1"/>
  <c r="AF44" i="2" s="1"/>
  <c r="L44" i="2"/>
  <c r="G44" i="2"/>
  <c r="P43" i="2"/>
  <c r="U43" i="2" s="1"/>
  <c r="Z43" i="2" s="1"/>
  <c r="L43" i="2"/>
  <c r="G43" i="2"/>
  <c r="AD42" i="2"/>
  <c r="G13" i="4" s="1"/>
  <c r="Y42" i="2"/>
  <c r="F13" i="4" s="1"/>
  <c r="T42" i="2"/>
  <c r="E13" i="4" s="1"/>
  <c r="P42" i="2"/>
  <c r="O42" i="2"/>
  <c r="D13" i="4" s="1"/>
  <c r="L42" i="2"/>
  <c r="J42" i="2"/>
  <c r="C13" i="4" s="1"/>
  <c r="G42" i="2"/>
  <c r="AD41" i="2"/>
  <c r="G12" i="4" s="1"/>
  <c r="Y41" i="2"/>
  <c r="F12" i="4" s="1"/>
  <c r="U41" i="2"/>
  <c r="T41" i="2"/>
  <c r="E12" i="4" s="1"/>
  <c r="P41" i="2"/>
  <c r="Q41" i="2" s="1"/>
  <c r="O41" i="2"/>
  <c r="D12" i="4" s="1"/>
  <c r="L41" i="2"/>
  <c r="J41" i="2"/>
  <c r="C12" i="4" s="1"/>
  <c r="G41" i="2"/>
  <c r="AD40" i="2"/>
  <c r="G11" i="4" s="1"/>
  <c r="Y40" i="2"/>
  <c r="F11" i="4" s="1"/>
  <c r="T40" i="2"/>
  <c r="E11" i="4" s="1"/>
  <c r="P40" i="2"/>
  <c r="Q40" i="2" s="1"/>
  <c r="O40" i="2"/>
  <c r="D11" i="4" s="1"/>
  <c r="L40" i="2"/>
  <c r="J40" i="2"/>
  <c r="C11" i="4" s="1"/>
  <c r="G40" i="2"/>
  <c r="AD39" i="2"/>
  <c r="G10" i="4" s="1"/>
  <c r="Y39" i="2"/>
  <c r="F10" i="4" s="1"/>
  <c r="T39" i="2"/>
  <c r="E10" i="4" s="1"/>
  <c r="P39" i="2"/>
  <c r="Q39" i="2" s="1"/>
  <c r="O39" i="2"/>
  <c r="D10" i="4" s="1"/>
  <c r="L39" i="2"/>
  <c r="J39" i="2"/>
  <c r="C10" i="4" s="1"/>
  <c r="G39" i="2"/>
  <c r="AD38" i="2"/>
  <c r="G9" i="4" s="1"/>
  <c r="Y38" i="2"/>
  <c r="F9" i="4" s="1"/>
  <c r="T38" i="2"/>
  <c r="E9" i="4" s="1"/>
  <c r="P38" i="2"/>
  <c r="O38" i="2"/>
  <c r="D9" i="4" s="1"/>
  <c r="L38" i="2"/>
  <c r="J38" i="2"/>
  <c r="C9" i="4" s="1"/>
  <c r="G38" i="2"/>
  <c r="AD37" i="2"/>
  <c r="Y37" i="2"/>
  <c r="T37" i="2"/>
  <c r="P37" i="2"/>
  <c r="Q37" i="2" s="1"/>
  <c r="O37" i="2"/>
  <c r="D8" i="4" s="1"/>
  <c r="L37" i="2"/>
  <c r="J37" i="2"/>
  <c r="C8" i="4" s="1"/>
  <c r="G37" i="2"/>
  <c r="AD36" i="2"/>
  <c r="G7" i="4" s="1"/>
  <c r="B9" i="10" s="1"/>
  <c r="G9" i="11" s="1"/>
  <c r="Y36" i="2"/>
  <c r="F7" i="4" s="1"/>
  <c r="B9" i="9" s="1"/>
  <c r="F9" i="11" s="1"/>
  <c r="T36" i="2"/>
  <c r="P36" i="2"/>
  <c r="Q36" i="2" s="1"/>
  <c r="O36" i="2"/>
  <c r="D7" i="4" s="1"/>
  <c r="B9" i="7" s="1"/>
  <c r="D9" i="11" s="1"/>
  <c r="L36" i="2"/>
  <c r="J36" i="2"/>
  <c r="C7" i="4" s="1"/>
  <c r="C29" i="4" s="1"/>
  <c r="B9" i="6" s="1"/>
  <c r="G36" i="2"/>
  <c r="G63" i="2" s="1"/>
  <c r="AD30" i="2"/>
  <c r="AC30" i="2"/>
  <c r="AB30" i="2"/>
  <c r="G50" i="4" s="1"/>
  <c r="Y30" i="2"/>
  <c r="X30" i="2"/>
  <c r="W30" i="2"/>
  <c r="F50" i="4" s="1"/>
  <c r="T30" i="2"/>
  <c r="S30" i="2"/>
  <c r="R30" i="2"/>
  <c r="E50" i="4" s="1"/>
  <c r="O30" i="2"/>
  <c r="N30" i="2"/>
  <c r="M30" i="2"/>
  <c r="D50" i="4" s="1"/>
  <c r="J30" i="2"/>
  <c r="I30" i="2"/>
  <c r="H30" i="2"/>
  <c r="C50" i="4" s="1"/>
  <c r="E30" i="2"/>
  <c r="D30" i="2"/>
  <c r="C30" i="2"/>
  <c r="B50" i="4" s="1"/>
  <c r="G29" i="2"/>
  <c r="P25" i="2"/>
  <c r="U25" i="2" s="1"/>
  <c r="G25" i="2"/>
  <c r="P23" i="2"/>
  <c r="L23" i="2"/>
  <c r="G23" i="2"/>
  <c r="K22" i="2"/>
  <c r="P22" i="2" s="1"/>
  <c r="U22" i="2" s="1"/>
  <c r="G22" i="2"/>
  <c r="K21" i="2"/>
  <c r="G21" i="2"/>
  <c r="P20" i="2"/>
  <c r="U20" i="2" s="1"/>
  <c r="G20" i="2"/>
  <c r="K19" i="2"/>
  <c r="L19" i="2" s="1"/>
  <c r="G19" i="2"/>
  <c r="K18" i="2"/>
  <c r="L18" i="2" s="1"/>
  <c r="G18" i="2"/>
  <c r="G17" i="2"/>
  <c r="P16" i="2"/>
  <c r="U16" i="2" s="1"/>
  <c r="G16" i="2"/>
  <c r="B47" i="4" s="1"/>
  <c r="B37" i="5" s="1"/>
  <c r="B37" i="11" s="1"/>
  <c r="L15" i="2"/>
  <c r="G15" i="2"/>
  <c r="U14" i="2"/>
  <c r="Z14" i="2" s="1"/>
  <c r="L14" i="2"/>
  <c r="G14" i="2"/>
  <c r="G7" i="2"/>
  <c r="F7" i="2"/>
  <c r="E7" i="2"/>
  <c r="D7" i="2"/>
  <c r="C7" i="2"/>
  <c r="B7" i="2"/>
  <c r="G6" i="2"/>
  <c r="F6" i="2"/>
  <c r="E6" i="2"/>
  <c r="D6" i="2"/>
  <c r="C6" i="2"/>
  <c r="B6" i="2"/>
  <c r="G5" i="2"/>
  <c r="F5" i="2"/>
  <c r="E5" i="2"/>
  <c r="D5" i="2"/>
  <c r="C5" i="2"/>
  <c r="B5" i="2"/>
  <c r="G4" i="2"/>
  <c r="F4" i="2"/>
  <c r="E4" i="2"/>
  <c r="D4" i="2"/>
  <c r="C4" i="2"/>
  <c r="B4" i="2"/>
  <c r="Q46" i="2" l="1"/>
  <c r="AD63" i="2"/>
  <c r="AD65" i="2" s="1"/>
  <c r="G32" i="4" s="1"/>
  <c r="B13" i="10" s="1"/>
  <c r="G13" i="11" s="1"/>
  <c r="U60" i="2"/>
  <c r="Z60" i="2" s="1"/>
  <c r="AA60" i="2" s="1"/>
  <c r="U58" i="2"/>
  <c r="Z58" i="2" s="1"/>
  <c r="D166" i="11"/>
  <c r="Q62" i="2"/>
  <c r="U40" i="2"/>
  <c r="U39" i="2"/>
  <c r="U37" i="2"/>
  <c r="Z37" i="2" s="1"/>
  <c r="U36" i="2"/>
  <c r="C48" i="4"/>
  <c r="B38" i="6" s="1"/>
  <c r="C38" i="11" s="1"/>
  <c r="N65" i="2"/>
  <c r="X65" i="2"/>
  <c r="B48" i="4"/>
  <c r="B38" i="5" s="1"/>
  <c r="B38" i="11" s="1"/>
  <c r="AB65" i="2"/>
  <c r="G74" i="4" s="1"/>
  <c r="B63" i="10" s="1"/>
  <c r="G63" i="11" s="1"/>
  <c r="C65" i="2"/>
  <c r="I65" i="2"/>
  <c r="S65" i="2"/>
  <c r="AC65" i="2"/>
  <c r="D65" i="2"/>
  <c r="M65" i="2"/>
  <c r="D74" i="4" s="1"/>
  <c r="B63" i="7" s="1"/>
  <c r="D63" i="11" s="1"/>
  <c r="W65" i="2"/>
  <c r="F74" i="4" s="1"/>
  <c r="B63" i="9" s="1"/>
  <c r="F63" i="11" s="1"/>
  <c r="B50" i="9"/>
  <c r="F50" i="11" s="1"/>
  <c r="Z22" i="2"/>
  <c r="AE22" i="2" s="1"/>
  <c r="AF22" i="2" s="1"/>
  <c r="V22" i="2"/>
  <c r="P18" i="2"/>
  <c r="U18" i="2" s="1"/>
  <c r="Z18" i="2" s="1"/>
  <c r="AE18" i="2" s="1"/>
  <c r="AF18" i="2" s="1"/>
  <c r="B49" i="4"/>
  <c r="B39" i="5" s="1"/>
  <c r="B39" i="11" s="1"/>
  <c r="C20" i="4"/>
  <c r="C33" i="4" s="1"/>
  <c r="B12" i="6" s="1"/>
  <c r="B14" i="12" s="1"/>
  <c r="F166" i="11"/>
  <c r="L22" i="2"/>
  <c r="P19" i="2"/>
  <c r="Q19" i="2" s="1"/>
  <c r="B50" i="7"/>
  <c r="D50" i="11" s="1"/>
  <c r="Q25" i="2"/>
  <c r="P15" i="2"/>
  <c r="Q15" i="2" s="1"/>
  <c r="B9" i="2"/>
  <c r="Q16" i="2"/>
  <c r="B46" i="4"/>
  <c r="B36" i="5" s="1"/>
  <c r="B36" i="11" s="1"/>
  <c r="H65" i="2"/>
  <c r="C74" i="4" s="1"/>
  <c r="B63" i="6" s="1"/>
  <c r="C63" i="11" s="1"/>
  <c r="V14" i="2"/>
  <c r="D115" i="11"/>
  <c r="B133" i="11"/>
  <c r="B135" i="11" s="1"/>
  <c r="B135" i="5"/>
  <c r="F133" i="11"/>
  <c r="F135" i="11" s="1"/>
  <c r="B135" i="9"/>
  <c r="Z20" i="2"/>
  <c r="V20" i="2"/>
  <c r="P21" i="2"/>
  <c r="L21" i="2"/>
  <c r="E7" i="4"/>
  <c r="B9" i="8" s="1"/>
  <c r="E9" i="11" s="1"/>
  <c r="T63" i="2"/>
  <c r="U38" i="2"/>
  <c r="Q38" i="2"/>
  <c r="V45" i="2"/>
  <c r="Z45" i="2"/>
  <c r="V47" i="2"/>
  <c r="Z47" i="2"/>
  <c r="V49" i="2"/>
  <c r="Z49" i="2"/>
  <c r="V51" i="2"/>
  <c r="Z51" i="2"/>
  <c r="V53" i="2"/>
  <c r="Z53" i="2"/>
  <c r="V55" i="2"/>
  <c r="Z55" i="2"/>
  <c r="V57" i="2"/>
  <c r="Z57" i="2"/>
  <c r="V59" i="2"/>
  <c r="Z59" i="2"/>
  <c r="Z61" i="2"/>
  <c r="V61" i="2"/>
  <c r="E65" i="2"/>
  <c r="G28" i="4"/>
  <c r="B95" i="11"/>
  <c r="B98" i="11" s="1"/>
  <c r="B98" i="5"/>
  <c r="F95" i="11"/>
  <c r="F98" i="11" s="1"/>
  <c r="B98" i="9"/>
  <c r="AE14" i="2"/>
  <c r="AF14" i="2" s="1"/>
  <c r="AA14" i="2"/>
  <c r="Z16" i="2"/>
  <c r="V16" i="2"/>
  <c r="P17" i="2"/>
  <c r="L17" i="2"/>
  <c r="AA22" i="2"/>
  <c r="Z25" i="2"/>
  <c r="V25" i="2"/>
  <c r="P29" i="2"/>
  <c r="L29" i="2"/>
  <c r="D22" i="4"/>
  <c r="B4" i="7" s="1"/>
  <c r="D4" i="11" s="1"/>
  <c r="D20" i="4"/>
  <c r="D33" i="4" s="1"/>
  <c r="B12" i="7" s="1"/>
  <c r="D12" i="11" s="1"/>
  <c r="D21" i="4"/>
  <c r="D185" i="4" s="1"/>
  <c r="B184" i="7" s="1"/>
  <c r="D184" i="11" s="1"/>
  <c r="D186" i="11" s="1"/>
  <c r="Z41" i="2"/>
  <c r="V41" i="2"/>
  <c r="U42" i="2"/>
  <c r="Q42" i="2"/>
  <c r="V43" i="2"/>
  <c r="F20" i="4"/>
  <c r="F33" i="4" s="1"/>
  <c r="B12" i="9" s="1"/>
  <c r="F12" i="11" s="1"/>
  <c r="G27" i="4"/>
  <c r="E79" i="11"/>
  <c r="E80" i="11" s="1"/>
  <c r="B80" i="8"/>
  <c r="D95" i="11"/>
  <c r="D98" i="11" s="1"/>
  <c r="B98" i="7"/>
  <c r="C109" i="11"/>
  <c r="C112" i="11" s="1"/>
  <c r="B112" i="6"/>
  <c r="B56" i="12" s="1"/>
  <c r="G109" i="11"/>
  <c r="C115" i="11"/>
  <c r="G115" i="11"/>
  <c r="E133" i="11"/>
  <c r="E135" i="11" s="1"/>
  <c r="B135" i="8"/>
  <c r="U15" i="2"/>
  <c r="U23" i="2"/>
  <c r="Q23" i="2"/>
  <c r="G8" i="2"/>
  <c r="E95" i="11"/>
  <c r="E98" i="11" s="1"/>
  <c r="B98" i="8"/>
  <c r="D109" i="11"/>
  <c r="B52" i="10"/>
  <c r="G52" i="11" s="1"/>
  <c r="C79" i="11"/>
  <c r="C80" i="11" s="1"/>
  <c r="B80" i="6"/>
  <c r="B51" i="12" s="1"/>
  <c r="G79" i="11"/>
  <c r="G80" i="11" s="1"/>
  <c r="B80" i="10"/>
  <c r="E109" i="11"/>
  <c r="B135" i="10"/>
  <c r="G133" i="11"/>
  <c r="G135" i="11" s="1"/>
  <c r="D114" i="4"/>
  <c r="B110" i="6"/>
  <c r="C110" i="11" s="1"/>
  <c r="E115" i="11"/>
  <c r="C133" i="11"/>
  <c r="C135" i="11" s="1"/>
  <c r="B135" i="6"/>
  <c r="B58" i="12" s="1"/>
  <c r="G30" i="2"/>
  <c r="G65" i="2" s="1"/>
  <c r="Q20" i="2"/>
  <c r="B53" i="5"/>
  <c r="B53" i="11" s="1"/>
  <c r="B49" i="5"/>
  <c r="B49" i="11" s="1"/>
  <c r="B52" i="5"/>
  <c r="B52" i="11" s="1"/>
  <c r="B51" i="5"/>
  <c r="B51" i="11" s="1"/>
  <c r="B50" i="5"/>
  <c r="B50" i="11" s="1"/>
  <c r="C41" i="4"/>
  <c r="B32" i="6" s="1"/>
  <c r="L63" i="2"/>
  <c r="AE43" i="2"/>
  <c r="AF43" i="2" s="1"/>
  <c r="AA43" i="2"/>
  <c r="AA44" i="2"/>
  <c r="AA46" i="2"/>
  <c r="AE46" i="2"/>
  <c r="AF46" i="2" s="1"/>
  <c r="AA48" i="2"/>
  <c r="AE48" i="2"/>
  <c r="AF48" i="2" s="1"/>
  <c r="AA50" i="2"/>
  <c r="AE50" i="2"/>
  <c r="AF50" i="2" s="1"/>
  <c r="AA52" i="2"/>
  <c r="AE52" i="2"/>
  <c r="AF52" i="2" s="1"/>
  <c r="AA54" i="2"/>
  <c r="AE54" i="2"/>
  <c r="AF54" i="2" s="1"/>
  <c r="AA56" i="2"/>
  <c r="AE56" i="2"/>
  <c r="AF56" i="2" s="1"/>
  <c r="AA58" i="2"/>
  <c r="AE58" i="2"/>
  <c r="AF58" i="2" s="1"/>
  <c r="AE60" i="2"/>
  <c r="AF60" i="2" s="1"/>
  <c r="AE62" i="2"/>
  <c r="AF62" i="2" s="1"/>
  <c r="AA62" i="2"/>
  <c r="B52" i="8"/>
  <c r="E52" i="11" s="1"/>
  <c r="B51" i="8"/>
  <c r="E51" i="11" s="1"/>
  <c r="B50" i="8"/>
  <c r="E50" i="11" s="1"/>
  <c r="B53" i="8"/>
  <c r="E53" i="11" s="1"/>
  <c r="B49" i="8"/>
  <c r="E49" i="11" s="1"/>
  <c r="C22" i="4"/>
  <c r="B53" i="6"/>
  <c r="C95" i="11"/>
  <c r="C98" i="11" s="1"/>
  <c r="B98" i="6"/>
  <c r="B54" i="12" s="1"/>
  <c r="G95" i="11"/>
  <c r="G98" i="11" s="1"/>
  <c r="B98" i="10"/>
  <c r="B109" i="11"/>
  <c r="B112" i="11" s="1"/>
  <c r="B112" i="5"/>
  <c r="F109" i="11"/>
  <c r="B115" i="11"/>
  <c r="B130" i="11" s="1"/>
  <c r="B130" i="5"/>
  <c r="F115" i="11"/>
  <c r="D133" i="11"/>
  <c r="D135" i="11" s="1"/>
  <c r="B135" i="7"/>
  <c r="A1" i="5"/>
  <c r="B22" i="11"/>
  <c r="B34" i="11"/>
  <c r="B45" i="11"/>
  <c r="B75" i="11"/>
  <c r="B80" i="5"/>
  <c r="B86" i="5"/>
  <c r="B92" i="5"/>
  <c r="B110" i="5"/>
  <c r="B110" i="11" s="1"/>
  <c r="B174" i="5"/>
  <c r="B186" i="5"/>
  <c r="A1" i="6"/>
  <c r="C9" i="11"/>
  <c r="B11" i="12"/>
  <c r="B23" i="12"/>
  <c r="C25" i="11"/>
  <c r="C26" i="11" s="1"/>
  <c r="C45" i="11"/>
  <c r="B50" i="6"/>
  <c r="B61" i="12"/>
  <c r="C139" i="11"/>
  <c r="B65" i="12"/>
  <c r="C143" i="11"/>
  <c r="B69" i="12"/>
  <c r="C147" i="11"/>
  <c r="B73" i="12"/>
  <c r="C151" i="11"/>
  <c r="B77" i="12"/>
  <c r="C155" i="11"/>
  <c r="B80" i="12"/>
  <c r="C158" i="11"/>
  <c r="B82" i="12"/>
  <c r="C160" i="11"/>
  <c r="B84" i="12"/>
  <c r="C162" i="11"/>
  <c r="B86" i="12"/>
  <c r="C164" i="11"/>
  <c r="B89" i="12"/>
  <c r="C169" i="11"/>
  <c r="B93" i="12"/>
  <c r="C173" i="11"/>
  <c r="B97" i="12"/>
  <c r="C179" i="11"/>
  <c r="B101" i="12"/>
  <c r="C185" i="11"/>
  <c r="B26" i="7"/>
  <c r="B51" i="7"/>
  <c r="D51" i="11" s="1"/>
  <c r="B75" i="7"/>
  <c r="D86" i="11"/>
  <c r="D92" i="11"/>
  <c r="D181" i="11"/>
  <c r="B181" i="7"/>
  <c r="B45" i="8"/>
  <c r="E174" i="11"/>
  <c r="B26" i="9"/>
  <c r="B51" i="9"/>
  <c r="F51" i="11" s="1"/>
  <c r="B75" i="9"/>
  <c r="F86" i="11"/>
  <c r="F92" i="11"/>
  <c r="F181" i="11"/>
  <c r="B181" i="9"/>
  <c r="B45" i="10"/>
  <c r="B49" i="10"/>
  <c r="G49" i="11" s="1"/>
  <c r="B53" i="10"/>
  <c r="G53" i="11" s="1"/>
  <c r="C107" i="4"/>
  <c r="B75" i="5"/>
  <c r="B106" i="11"/>
  <c r="B181" i="5"/>
  <c r="B12" i="12"/>
  <c r="C10" i="11"/>
  <c r="B16" i="12"/>
  <c r="C14" i="11"/>
  <c r="B51" i="6"/>
  <c r="B46" i="12"/>
  <c r="C64" i="11"/>
  <c r="C75" i="11"/>
  <c r="M52" i="12"/>
  <c r="I52" i="12"/>
  <c r="E52" i="12"/>
  <c r="L52" i="12"/>
  <c r="H52" i="12"/>
  <c r="D52" i="12"/>
  <c r="K52" i="12"/>
  <c r="G52" i="12"/>
  <c r="C52" i="12"/>
  <c r="N52" i="12"/>
  <c r="F52" i="12"/>
  <c r="J52" i="12"/>
  <c r="K53" i="12"/>
  <c r="G53" i="12"/>
  <c r="C53" i="12"/>
  <c r="N53" i="12"/>
  <c r="J53" i="12"/>
  <c r="F53" i="12"/>
  <c r="M53" i="12"/>
  <c r="I53" i="12"/>
  <c r="E53" i="12"/>
  <c r="D53" i="12"/>
  <c r="H53" i="12"/>
  <c r="L53" i="12"/>
  <c r="B62" i="12"/>
  <c r="C140" i="11"/>
  <c r="B66" i="12"/>
  <c r="C144" i="11"/>
  <c r="B70" i="12"/>
  <c r="C148" i="11"/>
  <c r="B74" i="12"/>
  <c r="C152" i="11"/>
  <c r="B78" i="12"/>
  <c r="C156" i="11"/>
  <c r="B90" i="12"/>
  <c r="C170" i="11"/>
  <c r="B174" i="6"/>
  <c r="B98" i="12"/>
  <c r="C180" i="11"/>
  <c r="B44" i="7"/>
  <c r="B52" i="7"/>
  <c r="D52" i="11" s="1"/>
  <c r="D80" i="11"/>
  <c r="B166" i="7"/>
  <c r="A1" i="8"/>
  <c r="E45" i="11"/>
  <c r="E75" i="11"/>
  <c r="B174" i="8"/>
  <c r="B44" i="9"/>
  <c r="F44" i="11" s="1"/>
  <c r="F45" i="11" s="1"/>
  <c r="B52" i="9"/>
  <c r="F52" i="11" s="1"/>
  <c r="F80" i="11"/>
  <c r="B166" i="9"/>
  <c r="G45" i="11"/>
  <c r="B50" i="10"/>
  <c r="G50" i="11" s="1"/>
  <c r="G75" i="11"/>
  <c r="A1" i="12"/>
  <c r="A1" i="11"/>
  <c r="F21" i="4"/>
  <c r="F185" i="4" s="1"/>
  <c r="B184" i="9" s="1"/>
  <c r="F184" i="11" s="1"/>
  <c r="F186" i="11" s="1"/>
  <c r="O63" i="2"/>
  <c r="Y63" i="2"/>
  <c r="C21" i="4"/>
  <c r="C185" i="4" s="1"/>
  <c r="B184" i="6" s="1"/>
  <c r="B186" i="6" s="1"/>
  <c r="F22" i="4"/>
  <c r="B4" i="9" s="1"/>
  <c r="F4" i="11" s="1"/>
  <c r="B8" i="2"/>
  <c r="Q14" i="2"/>
  <c r="L16" i="2"/>
  <c r="C47" i="4" s="1"/>
  <c r="B37" i="6" s="1"/>
  <c r="C37" i="11" s="1"/>
  <c r="L20" i="2"/>
  <c r="Q43" i="2"/>
  <c r="V46" i="2"/>
  <c r="Q47" i="2"/>
  <c r="Q49" i="2"/>
  <c r="Q51" i="2"/>
  <c r="V52" i="2"/>
  <c r="Q53" i="2"/>
  <c r="V54" i="2"/>
  <c r="Q55" i="2"/>
  <c r="V56" i="2"/>
  <c r="Q57" i="2"/>
  <c r="Q59" i="2"/>
  <c r="V60" i="2"/>
  <c r="Q61" i="2"/>
  <c r="D42" i="4" s="1"/>
  <c r="B33" i="7" s="1"/>
  <c r="D33" i="11" s="1"/>
  <c r="V62" i="2"/>
  <c r="G8" i="4"/>
  <c r="G20" i="4" s="1"/>
  <c r="G33" i="4" s="1"/>
  <c r="B12" i="10" s="1"/>
  <c r="G12" i="11" s="1"/>
  <c r="C126" i="4"/>
  <c r="B34" i="5"/>
  <c r="B67" i="11"/>
  <c r="B80" i="11"/>
  <c r="B106" i="5"/>
  <c r="B166" i="11"/>
  <c r="B166" i="5"/>
  <c r="C11" i="11"/>
  <c r="B13" i="12"/>
  <c r="B17" i="12"/>
  <c r="C15" i="11"/>
  <c r="B21" i="12"/>
  <c r="C21" i="11"/>
  <c r="B52" i="6"/>
  <c r="B47" i="12"/>
  <c r="C65" i="11"/>
  <c r="B75" i="6"/>
  <c r="B50" i="12" s="1"/>
  <c r="B63" i="12"/>
  <c r="C141" i="11"/>
  <c r="B67" i="12"/>
  <c r="C145" i="11"/>
  <c r="B71" i="12"/>
  <c r="C149" i="11"/>
  <c r="B75" i="12"/>
  <c r="C153" i="11"/>
  <c r="B79" i="12"/>
  <c r="C157" i="11"/>
  <c r="B81" i="12"/>
  <c r="C159" i="11"/>
  <c r="B83" i="12"/>
  <c r="C161" i="11"/>
  <c r="B85" i="12"/>
  <c r="C163" i="11"/>
  <c r="B87" i="12"/>
  <c r="C165" i="11"/>
  <c r="B91" i="12"/>
  <c r="C171" i="11"/>
  <c r="B95" i="12"/>
  <c r="C177" i="11"/>
  <c r="B181" i="6"/>
  <c r="B49" i="7"/>
  <c r="D49" i="11" s="1"/>
  <c r="B53" i="7"/>
  <c r="D53" i="11" s="1"/>
  <c r="D174" i="11"/>
  <c r="B26" i="8"/>
  <c r="B75" i="8"/>
  <c r="E181" i="11"/>
  <c r="B181" i="8"/>
  <c r="B49" i="9"/>
  <c r="F49" i="11" s="1"/>
  <c r="B53" i="9"/>
  <c r="F53" i="11" s="1"/>
  <c r="F174" i="11"/>
  <c r="B26" i="10"/>
  <c r="B51" i="10"/>
  <c r="G51" i="11" s="1"/>
  <c r="B75" i="10"/>
  <c r="G86" i="11"/>
  <c r="G92" i="11"/>
  <c r="J63" i="2"/>
  <c r="Q22" i="2"/>
  <c r="L25" i="2"/>
  <c r="V44" i="2"/>
  <c r="Q45" i="2"/>
  <c r="V48" i="2"/>
  <c r="V50" i="2"/>
  <c r="V58" i="2"/>
  <c r="R65" i="2"/>
  <c r="E74" i="4" s="1"/>
  <c r="B63" i="8" s="1"/>
  <c r="E63" i="11" s="1"/>
  <c r="B16" i="11"/>
  <c r="B28" i="11" s="1"/>
  <c r="B16" i="5"/>
  <c r="B22" i="5"/>
  <c r="B45" i="5"/>
  <c r="B67" i="5"/>
  <c r="B174" i="11"/>
  <c r="B45" i="6"/>
  <c r="B30" i="12" s="1"/>
  <c r="B49" i="6"/>
  <c r="B60" i="12"/>
  <c r="C138" i="11"/>
  <c r="B64" i="12"/>
  <c r="C142" i="11"/>
  <c r="B68" i="12"/>
  <c r="C146" i="11"/>
  <c r="B72" i="12"/>
  <c r="C150" i="11"/>
  <c r="B76" i="12"/>
  <c r="C154" i="11"/>
  <c r="B166" i="6"/>
  <c r="B92" i="12"/>
  <c r="C172" i="11"/>
  <c r="B96" i="12"/>
  <c r="C178" i="11"/>
  <c r="A1" i="7"/>
  <c r="D75" i="11"/>
  <c r="B80" i="7"/>
  <c r="B86" i="7"/>
  <c r="B92" i="7"/>
  <c r="B174" i="7"/>
  <c r="E166" i="11"/>
  <c r="B166" i="8"/>
  <c r="A1" i="9"/>
  <c r="F75" i="11"/>
  <c r="B80" i="9"/>
  <c r="B86" i="9"/>
  <c r="B92" i="9"/>
  <c r="B174" i="9"/>
  <c r="B186" i="9"/>
  <c r="B174" i="10"/>
  <c r="G174" i="11"/>
  <c r="B181" i="10"/>
  <c r="G166" i="11"/>
  <c r="B166" i="10"/>
  <c r="C12" i="11" l="1"/>
  <c r="C184" i="11"/>
  <c r="G9" i="2"/>
  <c r="V37" i="2"/>
  <c r="AA18" i="2"/>
  <c r="B186" i="7"/>
  <c r="B100" i="12"/>
  <c r="H100" i="12" s="1"/>
  <c r="Q63" i="2"/>
  <c r="V40" i="2"/>
  <c r="Z40" i="2"/>
  <c r="V39" i="2"/>
  <c r="Z39" i="2"/>
  <c r="D41" i="4"/>
  <c r="B32" i="7" s="1"/>
  <c r="D32" i="11" s="1"/>
  <c r="D34" i="11" s="1"/>
  <c r="V36" i="2"/>
  <c r="Z36" i="2"/>
  <c r="B19" i="7"/>
  <c r="D19" i="11" s="1"/>
  <c r="B45" i="12"/>
  <c r="E45" i="12" s="1"/>
  <c r="Q18" i="2"/>
  <c r="D48" i="4" s="1"/>
  <c r="B38" i="7" s="1"/>
  <c r="D38" i="11" s="1"/>
  <c r="V18" i="2"/>
  <c r="C49" i="4"/>
  <c r="B39" i="6" s="1"/>
  <c r="C39" i="11" s="1"/>
  <c r="C46" i="4"/>
  <c r="B36" i="6" s="1"/>
  <c r="C36" i="11" s="1"/>
  <c r="N92" i="12"/>
  <c r="J92" i="12"/>
  <c r="F92" i="12"/>
  <c r="L92" i="12"/>
  <c r="H92" i="12"/>
  <c r="D92" i="12"/>
  <c r="K92" i="12"/>
  <c r="G92" i="12"/>
  <c r="C92" i="12"/>
  <c r="E92" i="12"/>
  <c r="M92" i="12"/>
  <c r="I92" i="12"/>
  <c r="M14" i="12"/>
  <c r="I14" i="12"/>
  <c r="E14" i="12"/>
  <c r="J14" i="12"/>
  <c r="D14" i="12"/>
  <c r="N14" i="12"/>
  <c r="H14" i="12"/>
  <c r="C14" i="12"/>
  <c r="K14" i="12"/>
  <c r="F14" i="12"/>
  <c r="L14" i="12"/>
  <c r="G14" i="12"/>
  <c r="N17" i="12"/>
  <c r="J17" i="12"/>
  <c r="F17" i="12"/>
  <c r="M17" i="12"/>
  <c r="I17" i="12"/>
  <c r="E17" i="12"/>
  <c r="K17" i="12"/>
  <c r="G17" i="12"/>
  <c r="C17" i="12"/>
  <c r="L17" i="12"/>
  <c r="H17" i="12"/>
  <c r="D17" i="12"/>
  <c r="B102" i="6"/>
  <c r="D107" i="4"/>
  <c r="B4" i="6"/>
  <c r="C4" i="11" s="1"/>
  <c r="B19" i="6"/>
  <c r="C186" i="11"/>
  <c r="M76" i="12"/>
  <c r="I76" i="12"/>
  <c r="E76" i="12"/>
  <c r="L76" i="12"/>
  <c r="H76" i="12"/>
  <c r="D76" i="12"/>
  <c r="K76" i="12"/>
  <c r="G76" i="12"/>
  <c r="C76" i="12"/>
  <c r="F76" i="12"/>
  <c r="N76" i="12"/>
  <c r="J76" i="12"/>
  <c r="M68" i="12"/>
  <c r="I68" i="12"/>
  <c r="E68" i="12"/>
  <c r="L68" i="12"/>
  <c r="G68" i="12"/>
  <c r="K68" i="12"/>
  <c r="F68" i="12"/>
  <c r="J68" i="12"/>
  <c r="D68" i="12"/>
  <c r="H68" i="12"/>
  <c r="C68" i="12"/>
  <c r="N68" i="12"/>
  <c r="N60" i="12"/>
  <c r="J60" i="12"/>
  <c r="F60" i="12"/>
  <c r="M60" i="12"/>
  <c r="I60" i="12"/>
  <c r="E60" i="12"/>
  <c r="L60" i="12"/>
  <c r="H60" i="12"/>
  <c r="D60" i="12"/>
  <c r="K60" i="12"/>
  <c r="G60" i="12"/>
  <c r="C60" i="12"/>
  <c r="K30" i="12"/>
  <c r="G30" i="12"/>
  <c r="C30" i="12"/>
  <c r="N30" i="12"/>
  <c r="I30" i="12"/>
  <c r="D30" i="12"/>
  <c r="M30" i="12"/>
  <c r="H30" i="12"/>
  <c r="J30" i="12"/>
  <c r="E30" i="12"/>
  <c r="F30" i="12"/>
  <c r="L30" i="12"/>
  <c r="B193" i="11"/>
  <c r="B197" i="11" s="1"/>
  <c r="C196" i="11" s="1"/>
  <c r="B45" i="9"/>
  <c r="L95" i="12"/>
  <c r="H95" i="12"/>
  <c r="D95" i="12"/>
  <c r="N95" i="12"/>
  <c r="J95" i="12"/>
  <c r="F95" i="12"/>
  <c r="M95" i="12"/>
  <c r="I95" i="12"/>
  <c r="E95" i="12"/>
  <c r="K95" i="12"/>
  <c r="G95" i="12"/>
  <c r="C95" i="12"/>
  <c r="N87" i="12"/>
  <c r="J87" i="12"/>
  <c r="F87" i="12"/>
  <c r="L87" i="12"/>
  <c r="H87" i="12"/>
  <c r="D87" i="12"/>
  <c r="K87" i="12"/>
  <c r="G87" i="12"/>
  <c r="C87" i="12"/>
  <c r="M87" i="12"/>
  <c r="I87" i="12"/>
  <c r="E87" i="12"/>
  <c r="N83" i="12"/>
  <c r="J83" i="12"/>
  <c r="F83" i="12"/>
  <c r="L83" i="12"/>
  <c r="K83" i="12"/>
  <c r="G83" i="12"/>
  <c r="C83" i="12"/>
  <c r="I83" i="12"/>
  <c r="H83" i="12"/>
  <c r="E83" i="12"/>
  <c r="M83" i="12"/>
  <c r="D83" i="12"/>
  <c r="K79" i="12"/>
  <c r="G79" i="12"/>
  <c r="C79" i="12"/>
  <c r="N79" i="12"/>
  <c r="I79" i="12"/>
  <c r="D79" i="12"/>
  <c r="M79" i="12"/>
  <c r="H79" i="12"/>
  <c r="L79" i="12"/>
  <c r="F79" i="12"/>
  <c r="J79" i="12"/>
  <c r="E79" i="12"/>
  <c r="L71" i="12"/>
  <c r="H71" i="12"/>
  <c r="D71" i="12"/>
  <c r="K71" i="12"/>
  <c r="G71" i="12"/>
  <c r="C71" i="12"/>
  <c r="N71" i="12"/>
  <c r="J71" i="12"/>
  <c r="F71" i="12"/>
  <c r="M71" i="12"/>
  <c r="I71" i="12"/>
  <c r="E71" i="12"/>
  <c r="L63" i="12"/>
  <c r="H63" i="12"/>
  <c r="D63" i="12"/>
  <c r="J63" i="12"/>
  <c r="E63" i="12"/>
  <c r="N63" i="12"/>
  <c r="I63" i="12"/>
  <c r="C63" i="12"/>
  <c r="M63" i="12"/>
  <c r="G63" i="12"/>
  <c r="K63" i="12"/>
  <c r="F63" i="12"/>
  <c r="M47" i="12"/>
  <c r="I47" i="12"/>
  <c r="E47" i="12"/>
  <c r="L47" i="12"/>
  <c r="H47" i="12"/>
  <c r="D47" i="12"/>
  <c r="K47" i="12"/>
  <c r="G47" i="12"/>
  <c r="C47" i="12"/>
  <c r="O47" i="12" s="1"/>
  <c r="J47" i="12"/>
  <c r="F47" i="12"/>
  <c r="N47" i="12"/>
  <c r="G22" i="4"/>
  <c r="B4" i="10" s="1"/>
  <c r="G4" i="11" s="1"/>
  <c r="F8" i="2"/>
  <c r="Y65" i="2"/>
  <c r="F32" i="4" s="1"/>
  <c r="B13" i="9" s="1"/>
  <c r="F13" i="11" s="1"/>
  <c r="F9" i="2"/>
  <c r="N78" i="12"/>
  <c r="J78" i="12"/>
  <c r="F78" i="12"/>
  <c r="M78" i="12"/>
  <c r="H78" i="12"/>
  <c r="C78" i="12"/>
  <c r="L78" i="12"/>
  <c r="G78" i="12"/>
  <c r="K78" i="12"/>
  <c r="E78" i="12"/>
  <c r="I78" i="12"/>
  <c r="D78" i="12"/>
  <c r="K70" i="12"/>
  <c r="G70" i="12"/>
  <c r="C70" i="12"/>
  <c r="N70" i="12"/>
  <c r="J70" i="12"/>
  <c r="F70" i="12"/>
  <c r="M70" i="12"/>
  <c r="I70" i="12"/>
  <c r="E70" i="12"/>
  <c r="L70" i="12"/>
  <c r="H70" i="12"/>
  <c r="D70" i="12"/>
  <c r="K62" i="12"/>
  <c r="G62" i="12"/>
  <c r="C62" i="12"/>
  <c r="N62" i="12"/>
  <c r="I62" i="12"/>
  <c r="D62" i="12"/>
  <c r="M62" i="12"/>
  <c r="H62" i="12"/>
  <c r="L62" i="12"/>
  <c r="F62" i="12"/>
  <c r="J62" i="12"/>
  <c r="E62" i="12"/>
  <c r="O52" i="12"/>
  <c r="N97" i="12"/>
  <c r="J97" i="12"/>
  <c r="F97" i="12"/>
  <c r="M97" i="12"/>
  <c r="I97" i="12"/>
  <c r="E97" i="12"/>
  <c r="L97" i="12"/>
  <c r="H97" i="12"/>
  <c r="D97" i="12"/>
  <c r="K97" i="12"/>
  <c r="G97" i="12"/>
  <c r="C97" i="12"/>
  <c r="K89" i="12"/>
  <c r="G89" i="12"/>
  <c r="C89" i="12"/>
  <c r="M89" i="12"/>
  <c r="I89" i="12"/>
  <c r="E89" i="12"/>
  <c r="L89" i="12"/>
  <c r="H89" i="12"/>
  <c r="D89" i="12"/>
  <c r="J89" i="12"/>
  <c r="F89" i="12"/>
  <c r="N89" i="12"/>
  <c r="K84" i="12"/>
  <c r="G84" i="12"/>
  <c r="C84" i="12"/>
  <c r="M84" i="12"/>
  <c r="I84" i="12"/>
  <c r="E84" i="12"/>
  <c r="L84" i="12"/>
  <c r="H84" i="12"/>
  <c r="D84" i="12"/>
  <c r="J84" i="12"/>
  <c r="F84" i="12"/>
  <c r="N84" i="12"/>
  <c r="L80" i="12"/>
  <c r="H80" i="12"/>
  <c r="D80" i="12"/>
  <c r="J80" i="12"/>
  <c r="E80" i="12"/>
  <c r="N80" i="12"/>
  <c r="I80" i="12"/>
  <c r="C80" i="12"/>
  <c r="M80" i="12"/>
  <c r="G80" i="12"/>
  <c r="F80" i="12"/>
  <c r="K80" i="12"/>
  <c r="N73" i="12"/>
  <c r="J73" i="12"/>
  <c r="F73" i="12"/>
  <c r="M73" i="12"/>
  <c r="I73" i="12"/>
  <c r="E73" i="12"/>
  <c r="L73" i="12"/>
  <c r="H73" i="12"/>
  <c r="D73" i="12"/>
  <c r="K73" i="12"/>
  <c r="G73" i="12"/>
  <c r="C73" i="12"/>
  <c r="N65" i="12"/>
  <c r="J65" i="12"/>
  <c r="F65" i="12"/>
  <c r="K65" i="12"/>
  <c r="E65" i="12"/>
  <c r="I65" i="12"/>
  <c r="D65" i="12"/>
  <c r="M65" i="12"/>
  <c r="H65" i="12"/>
  <c r="C65" i="12"/>
  <c r="G65" i="12"/>
  <c r="L65" i="12"/>
  <c r="M58" i="12"/>
  <c r="I58" i="12"/>
  <c r="E58" i="12"/>
  <c r="L58" i="12"/>
  <c r="H58" i="12"/>
  <c r="D58" i="12"/>
  <c r="K58" i="12"/>
  <c r="G58" i="12"/>
  <c r="C58" i="12"/>
  <c r="N58" i="12"/>
  <c r="J58" i="12"/>
  <c r="F58" i="12"/>
  <c r="K51" i="12"/>
  <c r="G51" i="12"/>
  <c r="C51" i="12"/>
  <c r="N51" i="12"/>
  <c r="J51" i="12"/>
  <c r="F51" i="12"/>
  <c r="M51" i="12"/>
  <c r="I51" i="12"/>
  <c r="E51" i="12"/>
  <c r="L51" i="12"/>
  <c r="D51" i="12"/>
  <c r="H51" i="12"/>
  <c r="G21" i="4"/>
  <c r="G185" i="4" s="1"/>
  <c r="B184" i="10" s="1"/>
  <c r="B40" i="11"/>
  <c r="AE41" i="2"/>
  <c r="AF41" i="2" s="1"/>
  <c r="AA41" i="2"/>
  <c r="E42" i="4"/>
  <c r="B33" i="8" s="1"/>
  <c r="E33" i="11" s="1"/>
  <c r="AE57" i="2"/>
  <c r="AF57" i="2" s="1"/>
  <c r="AA57" i="2"/>
  <c r="AE53" i="2"/>
  <c r="AF53" i="2" s="1"/>
  <c r="AA53" i="2"/>
  <c r="AE49" i="2"/>
  <c r="AF49" i="2" s="1"/>
  <c r="AA49" i="2"/>
  <c r="AE45" i="2"/>
  <c r="AF45" i="2" s="1"/>
  <c r="AA45" i="2"/>
  <c r="L100" i="12"/>
  <c r="C8" i="2"/>
  <c r="J65" i="2"/>
  <c r="C32" i="4" s="1"/>
  <c r="B13" i="6" s="1"/>
  <c r="C9" i="2"/>
  <c r="B37" i="12"/>
  <c r="C52" i="11"/>
  <c r="O65" i="2"/>
  <c r="D32" i="4" s="1"/>
  <c r="B13" i="7" s="1"/>
  <c r="D13" i="11" s="1"/>
  <c r="D9" i="2"/>
  <c r="D8" i="2"/>
  <c r="D44" i="11"/>
  <c r="D45" i="11" s="1"/>
  <c r="B45" i="7"/>
  <c r="B36" i="12"/>
  <c r="C51" i="11"/>
  <c r="N12" i="12"/>
  <c r="J12" i="12"/>
  <c r="F12" i="12"/>
  <c r="M12" i="12"/>
  <c r="I12" i="12"/>
  <c r="E12" i="12"/>
  <c r="K12" i="12"/>
  <c r="G12" i="12"/>
  <c r="C12" i="12"/>
  <c r="H12" i="12"/>
  <c r="D12" i="12"/>
  <c r="L12" i="12"/>
  <c r="M54" i="12"/>
  <c r="I54" i="12"/>
  <c r="E54" i="12"/>
  <c r="L54" i="12"/>
  <c r="H54" i="12"/>
  <c r="D54" i="12"/>
  <c r="K54" i="12"/>
  <c r="G54" i="12"/>
  <c r="C54" i="12"/>
  <c r="F54" i="12"/>
  <c r="J54" i="12"/>
  <c r="N54" i="12"/>
  <c r="B110" i="7"/>
  <c r="E114" i="4"/>
  <c r="M56" i="12"/>
  <c r="I56" i="12"/>
  <c r="E56" i="12"/>
  <c r="L56" i="12"/>
  <c r="H56" i="12"/>
  <c r="D56" i="12"/>
  <c r="K56" i="12"/>
  <c r="G56" i="12"/>
  <c r="C56" i="12"/>
  <c r="J56" i="12"/>
  <c r="F56" i="12"/>
  <c r="N56" i="12"/>
  <c r="D73" i="4"/>
  <c r="B62" i="7" s="1"/>
  <c r="D62" i="11" s="1"/>
  <c r="D71" i="4"/>
  <c r="B60" i="7" s="1"/>
  <c r="D60" i="11" s="1"/>
  <c r="D69" i="4"/>
  <c r="B58" i="7" s="1"/>
  <c r="D77" i="4"/>
  <c r="B66" i="7" s="1"/>
  <c r="D66" i="11" s="1"/>
  <c r="B20" i="7"/>
  <c r="D20" i="11" s="1"/>
  <c r="B3" i="7"/>
  <c r="D3" i="11" s="1"/>
  <c r="D72" i="4"/>
  <c r="B61" i="7" s="1"/>
  <c r="D61" i="11" s="1"/>
  <c r="D70" i="4"/>
  <c r="B59" i="7" s="1"/>
  <c r="D59" i="11" s="1"/>
  <c r="Q29" i="2"/>
  <c r="U29" i="2"/>
  <c r="AE16" i="2"/>
  <c r="AF16" i="2" s="1"/>
  <c r="AA16" i="2"/>
  <c r="AE61" i="2"/>
  <c r="AF61" i="2" s="1"/>
  <c r="G42" i="4" s="1"/>
  <c r="B33" i="10" s="1"/>
  <c r="G33" i="11" s="1"/>
  <c r="AA61" i="2"/>
  <c r="F42" i="4" s="1"/>
  <c r="B33" i="9" s="1"/>
  <c r="F33" i="11" s="1"/>
  <c r="AE37" i="2"/>
  <c r="AF37" i="2" s="1"/>
  <c r="AA37" i="2"/>
  <c r="Q21" i="2"/>
  <c r="D47" i="4" s="1"/>
  <c r="B37" i="7" s="1"/>
  <c r="D37" i="11" s="1"/>
  <c r="U21" i="2"/>
  <c r="M72" i="12"/>
  <c r="I72" i="12"/>
  <c r="E72" i="12"/>
  <c r="L72" i="12"/>
  <c r="H72" i="12"/>
  <c r="D72" i="12"/>
  <c r="K72" i="12"/>
  <c r="G72" i="12"/>
  <c r="C72" i="12"/>
  <c r="N72" i="12"/>
  <c r="J72" i="12"/>
  <c r="F72" i="12"/>
  <c r="M64" i="12"/>
  <c r="I64" i="12"/>
  <c r="E64" i="12"/>
  <c r="J64" i="12"/>
  <c r="D64" i="12"/>
  <c r="N64" i="12"/>
  <c r="H64" i="12"/>
  <c r="C64" i="12"/>
  <c r="L64" i="12"/>
  <c r="G64" i="12"/>
  <c r="F64" i="12"/>
  <c r="K64" i="12"/>
  <c r="M91" i="12"/>
  <c r="I91" i="12"/>
  <c r="E91" i="12"/>
  <c r="K91" i="12"/>
  <c r="G91" i="12"/>
  <c r="C91" i="12"/>
  <c r="N91" i="12"/>
  <c r="J91" i="12"/>
  <c r="F91" i="12"/>
  <c r="D91" i="12"/>
  <c r="L91" i="12"/>
  <c r="H91" i="12"/>
  <c r="L85" i="12"/>
  <c r="H85" i="12"/>
  <c r="D85" i="12"/>
  <c r="N85" i="12"/>
  <c r="J85" i="12"/>
  <c r="F85" i="12"/>
  <c r="M85" i="12"/>
  <c r="I85" i="12"/>
  <c r="E85" i="12"/>
  <c r="K85" i="12"/>
  <c r="G85" i="12"/>
  <c r="C85" i="12"/>
  <c r="M81" i="12"/>
  <c r="I81" i="12"/>
  <c r="E81" i="12"/>
  <c r="K81" i="12"/>
  <c r="F81" i="12"/>
  <c r="J81" i="12"/>
  <c r="D81" i="12"/>
  <c r="N81" i="12"/>
  <c r="H81" i="12"/>
  <c r="C81" i="12"/>
  <c r="L81" i="12"/>
  <c r="G81" i="12"/>
  <c r="L75" i="12"/>
  <c r="H75" i="12"/>
  <c r="D75" i="12"/>
  <c r="K75" i="12"/>
  <c r="G75" i="12"/>
  <c r="C75" i="12"/>
  <c r="N75" i="12"/>
  <c r="J75" i="12"/>
  <c r="F75" i="12"/>
  <c r="I75" i="12"/>
  <c r="E75" i="12"/>
  <c r="M75" i="12"/>
  <c r="L67" i="12"/>
  <c r="H67" i="12"/>
  <c r="D67" i="12"/>
  <c r="M67" i="12"/>
  <c r="G67" i="12"/>
  <c r="K67" i="12"/>
  <c r="F67" i="12"/>
  <c r="J67" i="12"/>
  <c r="E67" i="12"/>
  <c r="I67" i="12"/>
  <c r="C67" i="12"/>
  <c r="N67" i="12"/>
  <c r="M50" i="12"/>
  <c r="I50" i="12"/>
  <c r="E50" i="12"/>
  <c r="L50" i="12"/>
  <c r="H50" i="12"/>
  <c r="D50" i="12"/>
  <c r="K50" i="12"/>
  <c r="G50" i="12"/>
  <c r="C50" i="12"/>
  <c r="N50" i="12"/>
  <c r="J50" i="12"/>
  <c r="F50" i="12"/>
  <c r="K13" i="12"/>
  <c r="M13" i="12"/>
  <c r="H13" i="12"/>
  <c r="D13" i="12"/>
  <c r="L13" i="12"/>
  <c r="G13" i="12"/>
  <c r="C13" i="12"/>
  <c r="N13" i="12"/>
  <c r="I13" i="12"/>
  <c r="E13" i="12"/>
  <c r="J13" i="12"/>
  <c r="F13" i="12"/>
  <c r="F77" i="4"/>
  <c r="B66" i="9" s="1"/>
  <c r="F66" i="11" s="1"/>
  <c r="F72" i="4"/>
  <c r="B61" i="9" s="1"/>
  <c r="F61" i="11" s="1"/>
  <c r="F70" i="4"/>
  <c r="B59" i="9" s="1"/>
  <c r="F59" i="11" s="1"/>
  <c r="B20" i="9"/>
  <c r="F20" i="11" s="1"/>
  <c r="B3" i="9"/>
  <c r="F3" i="11" s="1"/>
  <c r="F73" i="4"/>
  <c r="B62" i="9" s="1"/>
  <c r="F62" i="11" s="1"/>
  <c r="F71" i="4"/>
  <c r="B60" i="9" s="1"/>
  <c r="F60" i="11" s="1"/>
  <c r="F69" i="4"/>
  <c r="B58" i="9" s="1"/>
  <c r="L90" i="12"/>
  <c r="H90" i="12"/>
  <c r="D90" i="12"/>
  <c r="N90" i="12"/>
  <c r="J90" i="12"/>
  <c r="F90" i="12"/>
  <c r="M90" i="12"/>
  <c r="I90" i="12"/>
  <c r="E90" i="12"/>
  <c r="G90" i="12"/>
  <c r="C90" i="12"/>
  <c r="K90" i="12"/>
  <c r="K74" i="12"/>
  <c r="G74" i="12"/>
  <c r="C74" i="12"/>
  <c r="N74" i="12"/>
  <c r="J74" i="12"/>
  <c r="F74" i="12"/>
  <c r="M74" i="12"/>
  <c r="I74" i="12"/>
  <c r="E74" i="12"/>
  <c r="H74" i="12"/>
  <c r="D74" i="12"/>
  <c r="L74" i="12"/>
  <c r="K66" i="12"/>
  <c r="G66" i="12"/>
  <c r="C66" i="12"/>
  <c r="L66" i="12"/>
  <c r="F66" i="12"/>
  <c r="J66" i="12"/>
  <c r="E66" i="12"/>
  <c r="N66" i="12"/>
  <c r="I66" i="12"/>
  <c r="D66" i="12"/>
  <c r="H66" i="12"/>
  <c r="M66" i="12"/>
  <c r="O53" i="12"/>
  <c r="M101" i="12"/>
  <c r="I101" i="12"/>
  <c r="E101" i="12"/>
  <c r="L101" i="12"/>
  <c r="H101" i="12"/>
  <c r="D101" i="12"/>
  <c r="K101" i="12"/>
  <c r="G101" i="12"/>
  <c r="C101" i="12"/>
  <c r="N101" i="12"/>
  <c r="J101" i="12"/>
  <c r="F101" i="12"/>
  <c r="K93" i="12"/>
  <c r="G93" i="12"/>
  <c r="C93" i="12"/>
  <c r="M93" i="12"/>
  <c r="I93" i="12"/>
  <c r="E93" i="12"/>
  <c r="L93" i="12"/>
  <c r="H93" i="12"/>
  <c r="D93" i="12"/>
  <c r="N93" i="12"/>
  <c r="J93" i="12"/>
  <c r="F93" i="12"/>
  <c r="M86" i="12"/>
  <c r="I86" i="12"/>
  <c r="E86" i="12"/>
  <c r="K86" i="12"/>
  <c r="G86" i="12"/>
  <c r="C86" i="12"/>
  <c r="N86" i="12"/>
  <c r="J86" i="12"/>
  <c r="F86" i="12"/>
  <c r="L86" i="12"/>
  <c r="H86" i="12"/>
  <c r="D86" i="12"/>
  <c r="M82" i="12"/>
  <c r="I82" i="12"/>
  <c r="E82" i="12"/>
  <c r="N82" i="12"/>
  <c r="J82" i="12"/>
  <c r="F82" i="12"/>
  <c r="H82" i="12"/>
  <c r="G82" i="12"/>
  <c r="L82" i="12"/>
  <c r="D82" i="12"/>
  <c r="K82" i="12"/>
  <c r="C82" i="12"/>
  <c r="N77" i="12"/>
  <c r="J77" i="12"/>
  <c r="F77" i="12"/>
  <c r="M77" i="12"/>
  <c r="I77" i="12"/>
  <c r="E77" i="12"/>
  <c r="L77" i="12"/>
  <c r="H77" i="12"/>
  <c r="D77" i="12"/>
  <c r="C77" i="12"/>
  <c r="K77" i="12"/>
  <c r="G77" i="12"/>
  <c r="N69" i="12"/>
  <c r="J69" i="12"/>
  <c r="F69" i="12"/>
  <c r="M69" i="12"/>
  <c r="I69" i="12"/>
  <c r="E69" i="12"/>
  <c r="L69" i="12"/>
  <c r="H69" i="12"/>
  <c r="D69" i="12"/>
  <c r="C69" i="12"/>
  <c r="K69" i="12"/>
  <c r="G69" i="12"/>
  <c r="N61" i="12"/>
  <c r="J61" i="12"/>
  <c r="F61" i="12"/>
  <c r="M61" i="12"/>
  <c r="H61" i="12"/>
  <c r="C61" i="12"/>
  <c r="L61" i="12"/>
  <c r="G61" i="12"/>
  <c r="K61" i="12"/>
  <c r="E61" i="12"/>
  <c r="I61" i="12"/>
  <c r="D61" i="12"/>
  <c r="L11" i="12"/>
  <c r="H11" i="12"/>
  <c r="D11" i="12"/>
  <c r="K11" i="12"/>
  <c r="G11" i="12"/>
  <c r="C11" i="12"/>
  <c r="M11" i="12"/>
  <c r="I11" i="12"/>
  <c r="E11" i="12"/>
  <c r="F11" i="12"/>
  <c r="N11" i="12"/>
  <c r="J11" i="12"/>
  <c r="L30" i="2"/>
  <c r="L65" i="2" s="1"/>
  <c r="V23" i="2"/>
  <c r="Z23" i="2"/>
  <c r="V15" i="2"/>
  <c r="Z15" i="2"/>
  <c r="B19" i="9"/>
  <c r="Z42" i="2"/>
  <c r="V42" i="2"/>
  <c r="B8" i="9"/>
  <c r="AE59" i="2"/>
  <c r="AF59" i="2" s="1"/>
  <c r="AA59" i="2"/>
  <c r="AE55" i="2"/>
  <c r="AF55" i="2" s="1"/>
  <c r="AA55" i="2"/>
  <c r="AE51" i="2"/>
  <c r="AF51" i="2" s="1"/>
  <c r="AA51" i="2"/>
  <c r="AE47" i="2"/>
  <c r="AF47" i="2" s="1"/>
  <c r="AA47" i="2"/>
  <c r="E9" i="2"/>
  <c r="T65" i="2"/>
  <c r="E32" i="4" s="1"/>
  <c r="B13" i="8" s="1"/>
  <c r="E13" i="11" s="1"/>
  <c r="E8" i="2"/>
  <c r="M96" i="12"/>
  <c r="I96" i="12"/>
  <c r="E96" i="12"/>
  <c r="K96" i="12"/>
  <c r="G96" i="12"/>
  <c r="C96" i="12"/>
  <c r="N96" i="12"/>
  <c r="J96" i="12"/>
  <c r="F96" i="12"/>
  <c r="L96" i="12"/>
  <c r="H96" i="12"/>
  <c r="D96" i="12"/>
  <c r="C166" i="11"/>
  <c r="B34" i="12"/>
  <c r="C49" i="11"/>
  <c r="B28" i="5"/>
  <c r="C181" i="11"/>
  <c r="L21" i="12"/>
  <c r="H21" i="12"/>
  <c r="D21" i="12"/>
  <c r="K21" i="12"/>
  <c r="G21" i="12"/>
  <c r="C21" i="12"/>
  <c r="M21" i="12"/>
  <c r="I21" i="12"/>
  <c r="E21" i="12"/>
  <c r="N21" i="12"/>
  <c r="F21" i="12"/>
  <c r="J21" i="12"/>
  <c r="D126" i="4"/>
  <c r="B123" i="6"/>
  <c r="B8" i="6"/>
  <c r="C72" i="4"/>
  <c r="B61" i="6" s="1"/>
  <c r="C70" i="4"/>
  <c r="B59" i="6" s="1"/>
  <c r="B20" i="6"/>
  <c r="B3" i="6"/>
  <c r="C3" i="11" s="1"/>
  <c r="C73" i="4"/>
  <c r="B62" i="6" s="1"/>
  <c r="C71" i="4"/>
  <c r="B60" i="6" s="1"/>
  <c r="C69" i="4"/>
  <c r="B58" i="6" s="1"/>
  <c r="C77" i="4"/>
  <c r="B66" i="6" s="1"/>
  <c r="K98" i="12"/>
  <c r="G98" i="12"/>
  <c r="C98" i="12"/>
  <c r="N98" i="12"/>
  <c r="J98" i="12"/>
  <c r="F98" i="12"/>
  <c r="M98" i="12"/>
  <c r="I98" i="12"/>
  <c r="E98" i="12"/>
  <c r="L98" i="12"/>
  <c r="H98" i="12"/>
  <c r="D98" i="12"/>
  <c r="K46" i="12"/>
  <c r="G46" i="12"/>
  <c r="C46" i="12"/>
  <c r="N46" i="12"/>
  <c r="J46" i="12"/>
  <c r="F46" i="12"/>
  <c r="M46" i="12"/>
  <c r="I46" i="12"/>
  <c r="E46" i="12"/>
  <c r="H46" i="12"/>
  <c r="D46" i="12"/>
  <c r="L46" i="12"/>
  <c r="M16" i="12"/>
  <c r="I16" i="12"/>
  <c r="E16" i="12"/>
  <c r="N16" i="12"/>
  <c r="H16" i="12"/>
  <c r="C16" i="12"/>
  <c r="L16" i="12"/>
  <c r="G16" i="12"/>
  <c r="J16" i="12"/>
  <c r="D16" i="12"/>
  <c r="K16" i="12"/>
  <c r="F16" i="12"/>
  <c r="C174" i="11"/>
  <c r="B35" i="12"/>
  <c r="C50" i="11"/>
  <c r="N23" i="12"/>
  <c r="J23" i="12"/>
  <c r="F23" i="12"/>
  <c r="M23" i="12"/>
  <c r="I23" i="12"/>
  <c r="E23" i="12"/>
  <c r="K23" i="12"/>
  <c r="G23" i="12"/>
  <c r="C23" i="12"/>
  <c r="D23" i="12"/>
  <c r="H23" i="12"/>
  <c r="L23" i="12"/>
  <c r="B38" i="12"/>
  <c r="C53" i="11"/>
  <c r="C32" i="11"/>
  <c r="C34" i="11" s="1"/>
  <c r="B34" i="6"/>
  <c r="V19" i="2"/>
  <c r="Z19" i="2"/>
  <c r="B8" i="7"/>
  <c r="B40" i="5"/>
  <c r="AE25" i="2"/>
  <c r="AF25" i="2" s="1"/>
  <c r="AA25" i="2"/>
  <c r="Q17" i="2"/>
  <c r="D46" i="4" s="1"/>
  <c r="B36" i="7" s="1"/>
  <c r="U17" i="2"/>
  <c r="Z38" i="2"/>
  <c r="V38" i="2"/>
  <c r="E21" i="4"/>
  <c r="E185" i="4" s="1"/>
  <c r="B184" i="8" s="1"/>
  <c r="E20" i="4"/>
  <c r="E33" i="4" s="1"/>
  <c r="B12" i="8" s="1"/>
  <c r="E12" i="11" s="1"/>
  <c r="E22" i="4"/>
  <c r="AE20" i="2"/>
  <c r="AF20" i="2" s="1"/>
  <c r="AA20" i="2"/>
  <c r="F100" i="12" l="1"/>
  <c r="K100" i="12"/>
  <c r="E100" i="12"/>
  <c r="G100" i="12"/>
  <c r="J100" i="12"/>
  <c r="B15" i="12"/>
  <c r="C13" i="11"/>
  <c r="E184" i="11"/>
  <c r="E186" i="11" s="1"/>
  <c r="B186" i="8"/>
  <c r="G184" i="11"/>
  <c r="G186" i="11" s="1"/>
  <c r="B186" i="10"/>
  <c r="B8" i="10"/>
  <c r="G8" i="11" s="1"/>
  <c r="G16" i="11" s="1"/>
  <c r="I100" i="12"/>
  <c r="N100" i="12"/>
  <c r="D100" i="12"/>
  <c r="M100" i="12"/>
  <c r="C100" i="12"/>
  <c r="O90" i="12"/>
  <c r="O14" i="12"/>
  <c r="O11" i="12"/>
  <c r="M45" i="12"/>
  <c r="I45" i="12"/>
  <c r="B34" i="7"/>
  <c r="AE40" i="2"/>
  <c r="AF40" i="2" s="1"/>
  <c r="AA40" i="2"/>
  <c r="AA39" i="2"/>
  <c r="AE39" i="2"/>
  <c r="AF39" i="2" s="1"/>
  <c r="AE36" i="2"/>
  <c r="AF36" i="2" s="1"/>
  <c r="AA36" i="2"/>
  <c r="H45" i="12"/>
  <c r="F45" i="12"/>
  <c r="N45" i="12"/>
  <c r="L45" i="12"/>
  <c r="O87" i="12"/>
  <c r="G45" i="12"/>
  <c r="O61" i="12"/>
  <c r="O77" i="12"/>
  <c r="J45" i="12"/>
  <c r="K45" i="12"/>
  <c r="O86" i="12"/>
  <c r="O81" i="12"/>
  <c r="E48" i="4"/>
  <c r="B38" i="8" s="1"/>
  <c r="E38" i="11" s="1"/>
  <c r="B22" i="7"/>
  <c r="W28" i="10"/>
  <c r="D45" i="12"/>
  <c r="C45" i="12"/>
  <c r="O60" i="12"/>
  <c r="C40" i="11"/>
  <c r="D49" i="4"/>
  <c r="B39" i="7" s="1"/>
  <c r="D39" i="11" s="1"/>
  <c r="B40" i="6"/>
  <c r="B29" i="12" s="1"/>
  <c r="I29" i="12" s="1"/>
  <c r="D36" i="11"/>
  <c r="AE19" i="2"/>
  <c r="AF19" i="2" s="1"/>
  <c r="G48" i="4" s="1"/>
  <c r="B38" i="10" s="1"/>
  <c r="G38" i="11" s="1"/>
  <c r="AA19" i="2"/>
  <c r="F48" i="4" s="1"/>
  <c r="B38" i="9" s="1"/>
  <c r="F38" i="11" s="1"/>
  <c r="B43" i="12"/>
  <c r="C61" i="11"/>
  <c r="AE15" i="2"/>
  <c r="AF15" i="2" s="1"/>
  <c r="AA15" i="2"/>
  <c r="O69" i="12"/>
  <c r="Z29" i="2"/>
  <c r="V29" i="2"/>
  <c r="O51" i="12"/>
  <c r="O62" i="12"/>
  <c r="O70" i="12"/>
  <c r="E73" i="4"/>
  <c r="B62" i="8" s="1"/>
  <c r="E62" i="11" s="1"/>
  <c r="E71" i="4"/>
  <c r="B60" i="8" s="1"/>
  <c r="E60" i="11" s="1"/>
  <c r="E69" i="4"/>
  <c r="B58" i="8" s="1"/>
  <c r="B20" i="8"/>
  <c r="E20" i="11" s="1"/>
  <c r="B3" i="8"/>
  <c r="E3" i="11" s="1"/>
  <c r="E77" i="4"/>
  <c r="B66" i="8" s="1"/>
  <c r="E66" i="11" s="1"/>
  <c r="E72" i="4"/>
  <c r="B61" i="8" s="1"/>
  <c r="E61" i="11" s="1"/>
  <c r="E70" i="4"/>
  <c r="B59" i="8" s="1"/>
  <c r="E59" i="11" s="1"/>
  <c r="B8" i="8"/>
  <c r="M38" i="12"/>
  <c r="I38" i="12"/>
  <c r="E38" i="12"/>
  <c r="L38" i="12"/>
  <c r="G38" i="12"/>
  <c r="K38" i="12"/>
  <c r="F38" i="12"/>
  <c r="N38" i="12"/>
  <c r="H38" i="12"/>
  <c r="C38" i="12"/>
  <c r="J38" i="12"/>
  <c r="D38" i="12"/>
  <c r="B48" i="12"/>
  <c r="C66" i="11"/>
  <c r="B10" i="12"/>
  <c r="C8" i="11"/>
  <c r="B16" i="6"/>
  <c r="B249" i="11"/>
  <c r="W28" i="5"/>
  <c r="B193" i="5"/>
  <c r="W28" i="9"/>
  <c r="W28" i="7"/>
  <c r="V63" i="2"/>
  <c r="E41" i="4"/>
  <c r="B32" i="8" s="1"/>
  <c r="D8" i="11"/>
  <c r="D16" i="11" s="1"/>
  <c r="B16" i="7"/>
  <c r="O46" i="12"/>
  <c r="O98" i="12"/>
  <c r="B20" i="12"/>
  <c r="C20" i="11"/>
  <c r="C123" i="11"/>
  <c r="C130" i="11" s="1"/>
  <c r="B130" i="6"/>
  <c r="O21" i="12"/>
  <c r="AE23" i="2"/>
  <c r="AF23" i="2" s="1"/>
  <c r="AA23" i="2"/>
  <c r="B4" i="8"/>
  <c r="E4" i="11" s="1"/>
  <c r="W28" i="8"/>
  <c r="B19" i="8"/>
  <c r="AA38" i="2"/>
  <c r="AE38" i="2"/>
  <c r="AF38" i="2" s="1"/>
  <c r="K35" i="12"/>
  <c r="G35" i="12"/>
  <c r="C35" i="12"/>
  <c r="L35" i="12"/>
  <c r="F35" i="12"/>
  <c r="J35" i="12"/>
  <c r="E35" i="12"/>
  <c r="M35" i="12"/>
  <c r="H35" i="12"/>
  <c r="N35" i="12"/>
  <c r="I35" i="12"/>
  <c r="D35" i="12"/>
  <c r="O16" i="12"/>
  <c r="B42" i="12"/>
  <c r="C60" i="11"/>
  <c r="B41" i="12"/>
  <c r="C59" i="11"/>
  <c r="B123" i="7"/>
  <c r="E126" i="4"/>
  <c r="M34" i="12"/>
  <c r="I34" i="12"/>
  <c r="E34" i="12"/>
  <c r="J34" i="12"/>
  <c r="D34" i="12"/>
  <c r="N34" i="12"/>
  <c r="H34" i="12"/>
  <c r="C34" i="12"/>
  <c r="K34" i="12"/>
  <c r="F34" i="12"/>
  <c r="G34" i="12"/>
  <c r="L34" i="12"/>
  <c r="O96" i="12"/>
  <c r="O93" i="12"/>
  <c r="F58" i="11"/>
  <c r="F67" i="11" s="1"/>
  <c r="B67" i="9"/>
  <c r="B47" i="5"/>
  <c r="O13" i="12"/>
  <c r="O67" i="12"/>
  <c r="Z21" i="2"/>
  <c r="V21" i="2"/>
  <c r="E47" i="4" s="1"/>
  <c r="B37" i="8" s="1"/>
  <c r="E37" i="11" s="1"/>
  <c r="D58" i="11"/>
  <c r="D67" i="11" s="1"/>
  <c r="B67" i="7"/>
  <c r="O54" i="12"/>
  <c r="M36" i="12"/>
  <c r="I36" i="12"/>
  <c r="E36" i="12"/>
  <c r="N36" i="12"/>
  <c r="H36" i="12"/>
  <c r="C36" i="12"/>
  <c r="L36" i="12"/>
  <c r="G36" i="12"/>
  <c r="J36" i="12"/>
  <c r="D36" i="12"/>
  <c r="F36" i="12"/>
  <c r="K36" i="12"/>
  <c r="O65" i="12"/>
  <c r="Q30" i="2"/>
  <c r="Q65" i="2" s="1"/>
  <c r="O71" i="12"/>
  <c r="O76" i="12"/>
  <c r="B19" i="12"/>
  <c r="C19" i="11"/>
  <c r="B22" i="6"/>
  <c r="C102" i="11"/>
  <c r="C106" i="11" s="1"/>
  <c r="B106" i="6"/>
  <c r="B55" i="12" s="1"/>
  <c r="O17" i="12"/>
  <c r="O92" i="12"/>
  <c r="B44" i="12"/>
  <c r="C62" i="11"/>
  <c r="O74" i="12"/>
  <c r="O75" i="12"/>
  <c r="O91" i="12"/>
  <c r="O23" i="12"/>
  <c r="AA42" i="2"/>
  <c r="AE42" i="2"/>
  <c r="AF42" i="2" s="1"/>
  <c r="O101" i="12"/>
  <c r="B48" i="5"/>
  <c r="B48" i="11" s="1"/>
  <c r="O72" i="12"/>
  <c r="O56" i="12"/>
  <c r="B110" i="8"/>
  <c r="F114" i="4"/>
  <c r="O12" i="12"/>
  <c r="B19" i="10"/>
  <c r="G72" i="4"/>
  <c r="B61" i="10" s="1"/>
  <c r="G61" i="11" s="1"/>
  <c r="G70" i="4"/>
  <c r="B59" i="10" s="1"/>
  <c r="G59" i="11" s="1"/>
  <c r="B20" i="10"/>
  <c r="G20" i="11" s="1"/>
  <c r="B3" i="10"/>
  <c r="G3" i="11" s="1"/>
  <c r="G73" i="4"/>
  <c r="B62" i="10" s="1"/>
  <c r="G62" i="11" s="1"/>
  <c r="G71" i="4"/>
  <c r="B60" i="10" s="1"/>
  <c r="G60" i="11" s="1"/>
  <c r="G69" i="4"/>
  <c r="B58" i="10" s="1"/>
  <c r="G77" i="4"/>
  <c r="B66" i="10" s="1"/>
  <c r="G66" i="11" s="1"/>
  <c r="D22" i="11"/>
  <c r="O73" i="12"/>
  <c r="O80" i="12"/>
  <c r="O97" i="12"/>
  <c r="O78" i="12"/>
  <c r="O63" i="12"/>
  <c r="O95" i="12"/>
  <c r="O30" i="12"/>
  <c r="O68" i="12"/>
  <c r="W28" i="6"/>
  <c r="O66" i="12"/>
  <c r="F8" i="11"/>
  <c r="F16" i="11" s="1"/>
  <c r="B16" i="9"/>
  <c r="O50" i="12"/>
  <c r="Z17" i="2"/>
  <c r="V17" i="2"/>
  <c r="E46" i="4" s="1"/>
  <c r="B36" i="8" s="1"/>
  <c r="B28" i="12"/>
  <c r="B40" i="12"/>
  <c r="C58" i="11"/>
  <c r="B67" i="6"/>
  <c r="F19" i="11"/>
  <c r="F22" i="11" s="1"/>
  <c r="B22" i="9"/>
  <c r="O82" i="12"/>
  <c r="O85" i="12"/>
  <c r="O64" i="12"/>
  <c r="D110" i="11"/>
  <c r="D112" i="11" s="1"/>
  <c r="B112" i="7"/>
  <c r="K37" i="12"/>
  <c r="G37" i="12"/>
  <c r="C37" i="12"/>
  <c r="J37" i="12"/>
  <c r="E37" i="12"/>
  <c r="N37" i="12"/>
  <c r="I37" i="12"/>
  <c r="D37" i="12"/>
  <c r="L37" i="12"/>
  <c r="F37" i="12"/>
  <c r="H37" i="12"/>
  <c r="M37" i="12"/>
  <c r="O58" i="12"/>
  <c r="O84" i="12"/>
  <c r="O89" i="12"/>
  <c r="O79" i="12"/>
  <c r="O83" i="12"/>
  <c r="E107" i="4"/>
  <c r="B102" i="7"/>
  <c r="C16" i="11" l="1"/>
  <c r="O100" i="12"/>
  <c r="B16" i="10"/>
  <c r="L15" i="12"/>
  <c r="M15" i="12"/>
  <c r="I15" i="12"/>
  <c r="G15" i="12"/>
  <c r="J15" i="12"/>
  <c r="D15" i="12"/>
  <c r="C15" i="12"/>
  <c r="E15" i="12"/>
  <c r="N15" i="12"/>
  <c r="K15" i="12"/>
  <c r="F15" i="12"/>
  <c r="H15" i="12"/>
  <c r="B28" i="7"/>
  <c r="AF63" i="2"/>
  <c r="G41" i="4"/>
  <c r="B32" i="10" s="1"/>
  <c r="B34" i="10" s="1"/>
  <c r="O45" i="12"/>
  <c r="B28" i="9"/>
  <c r="E29" i="12"/>
  <c r="L29" i="12"/>
  <c r="W45" i="5"/>
  <c r="O38" i="12"/>
  <c r="D29" i="12"/>
  <c r="J29" i="12"/>
  <c r="N29" i="12"/>
  <c r="F29" i="12"/>
  <c r="B47" i="6"/>
  <c r="B32" i="12" s="1"/>
  <c r="C29" i="12"/>
  <c r="K29" i="12"/>
  <c r="B48" i="6"/>
  <c r="C48" i="11" s="1"/>
  <c r="H29" i="12"/>
  <c r="G29" i="12"/>
  <c r="M29" i="12"/>
  <c r="E49" i="4"/>
  <c r="B39" i="8" s="1"/>
  <c r="E39" i="11" s="1"/>
  <c r="W45" i="7"/>
  <c r="W45" i="6"/>
  <c r="D40" i="11"/>
  <c r="B40" i="7"/>
  <c r="E36" i="11"/>
  <c r="E110" i="11"/>
  <c r="E112" i="11" s="1"/>
  <c r="B112" i="8"/>
  <c r="D102" i="11"/>
  <c r="D106" i="11" s="1"/>
  <c r="B106" i="7"/>
  <c r="O37" i="12"/>
  <c r="C67" i="11"/>
  <c r="AA17" i="2"/>
  <c r="AE17" i="2"/>
  <c r="AF17" i="2" s="1"/>
  <c r="G58" i="11"/>
  <c r="G67" i="11" s="1"/>
  <c r="B67" i="10"/>
  <c r="C22" i="11"/>
  <c r="B102" i="8"/>
  <c r="F107" i="4"/>
  <c r="K40" i="12"/>
  <c r="G40" i="12"/>
  <c r="C40" i="12"/>
  <c r="N40" i="12"/>
  <c r="I40" i="12"/>
  <c r="D40" i="12"/>
  <c r="M40" i="12"/>
  <c r="H40" i="12"/>
  <c r="J40" i="12"/>
  <c r="E40" i="12"/>
  <c r="F40" i="12"/>
  <c r="L40" i="12"/>
  <c r="K28" i="12"/>
  <c r="G28" i="12"/>
  <c r="J28" i="12"/>
  <c r="E28" i="12"/>
  <c r="N28" i="12"/>
  <c r="I28" i="12"/>
  <c r="L28" i="12"/>
  <c r="F28" i="12"/>
  <c r="M28" i="12"/>
  <c r="H28" i="12"/>
  <c r="B110" i="9"/>
  <c r="G114" i="4"/>
  <c r="B110" i="10" s="1"/>
  <c r="K44" i="12"/>
  <c r="G44" i="12"/>
  <c r="C44" i="12"/>
  <c r="M44" i="12"/>
  <c r="I44" i="12"/>
  <c r="N44" i="12"/>
  <c r="F44" i="12"/>
  <c r="L44" i="12"/>
  <c r="E44" i="12"/>
  <c r="H44" i="12"/>
  <c r="J44" i="12"/>
  <c r="D44" i="12"/>
  <c r="L19" i="12"/>
  <c r="H19" i="12"/>
  <c r="D19" i="12"/>
  <c r="K19" i="12"/>
  <c r="G19" i="12"/>
  <c r="C19" i="12"/>
  <c r="M19" i="12"/>
  <c r="I19" i="12"/>
  <c r="E19" i="12"/>
  <c r="N19" i="12"/>
  <c r="J19" i="12"/>
  <c r="F19" i="12"/>
  <c r="D123" i="11"/>
  <c r="D130" i="11" s="1"/>
  <c r="B130" i="7"/>
  <c r="K42" i="12"/>
  <c r="G42" i="12"/>
  <c r="C42" i="12"/>
  <c r="M42" i="12"/>
  <c r="H42" i="12"/>
  <c r="L42" i="12"/>
  <c r="F42" i="12"/>
  <c r="N42" i="12"/>
  <c r="I42" i="12"/>
  <c r="D42" i="12"/>
  <c r="J42" i="12"/>
  <c r="E42" i="12"/>
  <c r="AA63" i="2"/>
  <c r="N10" i="12"/>
  <c r="J10" i="12"/>
  <c r="F10" i="12"/>
  <c r="B24" i="12"/>
  <c r="M10" i="12"/>
  <c r="I10" i="12"/>
  <c r="E10" i="12"/>
  <c r="K10" i="12"/>
  <c r="G10" i="12"/>
  <c r="C10" i="12"/>
  <c r="D10" i="12"/>
  <c r="L10" i="12"/>
  <c r="H10" i="12"/>
  <c r="G46" i="4"/>
  <c r="B36" i="10" s="1"/>
  <c r="E19" i="11"/>
  <c r="E22" i="11" s="1"/>
  <c r="B22" i="8"/>
  <c r="E58" i="11"/>
  <c r="E67" i="11" s="1"/>
  <c r="B67" i="8"/>
  <c r="AA29" i="2"/>
  <c r="AE29" i="2"/>
  <c r="AF29" i="2" s="1"/>
  <c r="G49" i="4" s="1"/>
  <c r="F28" i="11"/>
  <c r="G19" i="11"/>
  <c r="G22" i="11" s="1"/>
  <c r="G28" i="11" s="1"/>
  <c r="B22" i="10"/>
  <c r="B47" i="11"/>
  <c r="B54" i="11" s="1"/>
  <c r="B55" i="11" s="1"/>
  <c r="B188" i="11" s="1"/>
  <c r="B192" i="11" s="1"/>
  <c r="B54" i="5"/>
  <c r="B55" i="5" s="1"/>
  <c r="B188" i="5" s="1"/>
  <c r="M41" i="12"/>
  <c r="I41" i="12"/>
  <c r="E41" i="12"/>
  <c r="K41" i="12"/>
  <c r="F41" i="12"/>
  <c r="J41" i="12"/>
  <c r="D41" i="12"/>
  <c r="L41" i="12"/>
  <c r="G41" i="12"/>
  <c r="H41" i="12"/>
  <c r="C41" i="12"/>
  <c r="N41" i="12"/>
  <c r="N20" i="12"/>
  <c r="J20" i="12"/>
  <c r="F20" i="12"/>
  <c r="M20" i="12"/>
  <c r="I20" i="12"/>
  <c r="E20" i="12"/>
  <c r="K20" i="12"/>
  <c r="G20" i="12"/>
  <c r="C20" i="12"/>
  <c r="L20" i="12"/>
  <c r="D20" i="12"/>
  <c r="H20" i="12"/>
  <c r="D28" i="11"/>
  <c r="V30" i="2"/>
  <c r="V65" i="2" s="1"/>
  <c r="B252" i="11"/>
  <c r="B197" i="5"/>
  <c r="B196" i="6" s="1"/>
  <c r="B28" i="6"/>
  <c r="K48" i="12"/>
  <c r="G48" i="12"/>
  <c r="C48" i="12"/>
  <c r="N48" i="12"/>
  <c r="J48" i="12"/>
  <c r="F48" i="12"/>
  <c r="M48" i="12"/>
  <c r="I48" i="12"/>
  <c r="E48" i="12"/>
  <c r="L48" i="12"/>
  <c r="H48" i="12"/>
  <c r="D48" i="12"/>
  <c r="M43" i="12"/>
  <c r="I43" i="12"/>
  <c r="E43" i="12"/>
  <c r="J43" i="12"/>
  <c r="D43" i="12"/>
  <c r="N43" i="12"/>
  <c r="H43" i="12"/>
  <c r="C43" i="12"/>
  <c r="K43" i="12"/>
  <c r="F43" i="12"/>
  <c r="G43" i="12"/>
  <c r="L43" i="12"/>
  <c r="K55" i="12"/>
  <c r="G55" i="12"/>
  <c r="C55" i="12"/>
  <c r="N55" i="12"/>
  <c r="J55" i="12"/>
  <c r="F55" i="12"/>
  <c r="M55" i="12"/>
  <c r="I55" i="12"/>
  <c r="E55" i="12"/>
  <c r="H55" i="12"/>
  <c r="D55" i="12"/>
  <c r="L55" i="12"/>
  <c r="O36" i="12"/>
  <c r="AA21" i="2"/>
  <c r="F47" i="4" s="1"/>
  <c r="B37" i="9" s="1"/>
  <c r="F37" i="11" s="1"/>
  <c r="AE21" i="2"/>
  <c r="AF21" i="2" s="1"/>
  <c r="G47" i="4" s="1"/>
  <c r="B37" i="10" s="1"/>
  <c r="G37" i="11" s="1"/>
  <c r="O34" i="12"/>
  <c r="F126" i="4"/>
  <c r="B123" i="8"/>
  <c r="O35" i="12"/>
  <c r="B57" i="12"/>
  <c r="E32" i="11"/>
  <c r="E34" i="11" s="1"/>
  <c r="B34" i="8"/>
  <c r="E8" i="11"/>
  <c r="E16" i="11" s="1"/>
  <c r="B16" i="8"/>
  <c r="F46" i="4"/>
  <c r="B36" i="9" s="1"/>
  <c r="F41" i="4"/>
  <c r="B32" i="9" s="1"/>
  <c r="C28" i="11" l="1"/>
  <c r="C193" i="11" s="1"/>
  <c r="C197" i="11" s="1"/>
  <c r="D196" i="11" s="1"/>
  <c r="B28" i="10"/>
  <c r="G249" i="11" s="1"/>
  <c r="O15" i="12"/>
  <c r="E28" i="11"/>
  <c r="E193" i="11" s="1"/>
  <c r="D249" i="11"/>
  <c r="F249" i="11"/>
  <c r="G32" i="11"/>
  <c r="G34" i="11" s="1"/>
  <c r="B28" i="8"/>
  <c r="E249" i="11" s="1"/>
  <c r="AA30" i="2"/>
  <c r="AA65" i="2" s="1"/>
  <c r="G24" i="12"/>
  <c r="F49" i="4"/>
  <c r="B39" i="9" s="1"/>
  <c r="F39" i="11" s="1"/>
  <c r="O43" i="12"/>
  <c r="O20" i="12"/>
  <c r="AF30" i="2"/>
  <c r="AF65" i="2" s="1"/>
  <c r="H24" i="12"/>
  <c r="M24" i="12"/>
  <c r="L24" i="12"/>
  <c r="K24" i="12"/>
  <c r="B33" i="12"/>
  <c r="M33" i="12" s="1"/>
  <c r="C47" i="11"/>
  <c r="C54" i="11" s="1"/>
  <c r="C55" i="11" s="1"/>
  <c r="C188" i="11" s="1"/>
  <c r="O29" i="12"/>
  <c r="W45" i="8"/>
  <c r="B54" i="6"/>
  <c r="B55" i="6" s="1"/>
  <c r="B47" i="7"/>
  <c r="B48" i="7"/>
  <c r="D48" i="11" s="1"/>
  <c r="F32" i="11"/>
  <c r="F34" i="11" s="1"/>
  <c r="B34" i="9"/>
  <c r="B123" i="9"/>
  <c r="G126" i="4"/>
  <c r="B123" i="10" s="1"/>
  <c r="N24" i="12"/>
  <c r="O42" i="12"/>
  <c r="O28" i="12"/>
  <c r="K57" i="12"/>
  <c r="G57" i="12"/>
  <c r="C57" i="12"/>
  <c r="N57" i="12"/>
  <c r="J57" i="12"/>
  <c r="F57" i="12"/>
  <c r="M57" i="12"/>
  <c r="I57" i="12"/>
  <c r="E57" i="12"/>
  <c r="L57" i="12"/>
  <c r="H57" i="12"/>
  <c r="D57" i="12"/>
  <c r="F36" i="11"/>
  <c r="O48" i="12"/>
  <c r="B250" i="11"/>
  <c r="W186" i="5"/>
  <c r="B192" i="5"/>
  <c r="D24" i="12"/>
  <c r="E24" i="12"/>
  <c r="F24" i="12"/>
  <c r="O44" i="12"/>
  <c r="G110" i="11"/>
  <c r="G112" i="11" s="1"/>
  <c r="B112" i="10"/>
  <c r="O40" i="12"/>
  <c r="E102" i="11"/>
  <c r="E106" i="11" s="1"/>
  <c r="B106" i="8"/>
  <c r="M32" i="12"/>
  <c r="I32" i="12"/>
  <c r="E32" i="12"/>
  <c r="K32" i="12"/>
  <c r="F32" i="12"/>
  <c r="J32" i="12"/>
  <c r="D32" i="12"/>
  <c r="L32" i="12"/>
  <c r="G32" i="12"/>
  <c r="N32" i="12"/>
  <c r="H32" i="12"/>
  <c r="C32" i="12"/>
  <c r="B40" i="8"/>
  <c r="B48" i="8" s="1"/>
  <c r="E48" i="11" s="1"/>
  <c r="B151" i="12"/>
  <c r="C249" i="11"/>
  <c r="B193" i="6"/>
  <c r="D193" i="11"/>
  <c r="G36" i="11"/>
  <c r="G193" i="11"/>
  <c r="B102" i="9"/>
  <c r="G107" i="4"/>
  <c r="B102" i="10" s="1"/>
  <c r="O55" i="12"/>
  <c r="E123" i="11"/>
  <c r="E130" i="11" s="1"/>
  <c r="B130" i="8"/>
  <c r="O41" i="12"/>
  <c r="B200" i="11"/>
  <c r="C199" i="11" s="1"/>
  <c r="B194" i="11"/>
  <c r="F193" i="11"/>
  <c r="B39" i="10"/>
  <c r="G39" i="11" s="1"/>
  <c r="W45" i="10"/>
  <c r="C24" i="12"/>
  <c r="O10" i="12"/>
  <c r="I24" i="12"/>
  <c r="J24" i="12"/>
  <c r="O19" i="12"/>
  <c r="F110" i="11"/>
  <c r="F112" i="11" s="1"/>
  <c r="B112" i="9"/>
  <c r="E40" i="11"/>
  <c r="C192" i="11" l="1"/>
  <c r="C194" i="11" s="1"/>
  <c r="L33" i="12"/>
  <c r="L102" i="12" s="1"/>
  <c r="W45" i="9"/>
  <c r="F33" i="12"/>
  <c r="F102" i="12" s="1"/>
  <c r="G33" i="12"/>
  <c r="G102" i="12" s="1"/>
  <c r="E33" i="12"/>
  <c r="E102" i="12" s="1"/>
  <c r="K33" i="12"/>
  <c r="D33" i="12"/>
  <c r="D102" i="12" s="1"/>
  <c r="H33" i="12"/>
  <c r="H102" i="12" s="1"/>
  <c r="O24" i="12"/>
  <c r="I33" i="12"/>
  <c r="I102" i="12" s="1"/>
  <c r="C33" i="12"/>
  <c r="C102" i="12" s="1"/>
  <c r="W54" i="6"/>
  <c r="B102" i="12"/>
  <c r="B152" i="12" s="1"/>
  <c r="J33" i="12"/>
  <c r="J102" i="12" s="1"/>
  <c r="N33" i="12"/>
  <c r="N102" i="12" s="1"/>
  <c r="B40" i="10"/>
  <c r="B48" i="10" s="1"/>
  <c r="G48" i="11" s="1"/>
  <c r="G40" i="11"/>
  <c r="M102" i="12"/>
  <c r="B40" i="9"/>
  <c r="B48" i="9" s="1"/>
  <c r="F48" i="11" s="1"/>
  <c r="F40" i="11"/>
  <c r="K102" i="12"/>
  <c r="B47" i="8"/>
  <c r="B54" i="8" s="1"/>
  <c r="B55" i="8" s="1"/>
  <c r="D47" i="11"/>
  <c r="D54" i="11" s="1"/>
  <c r="D55" i="11" s="1"/>
  <c r="D188" i="11" s="1"/>
  <c r="D192" i="11" s="1"/>
  <c r="D194" i="11" s="1"/>
  <c r="B54" i="7"/>
  <c r="B55" i="7" s="1"/>
  <c r="B104" i="12"/>
  <c r="B197" i="6"/>
  <c r="B196" i="7" s="1"/>
  <c r="B193" i="7" s="1"/>
  <c r="G123" i="11"/>
  <c r="G130" i="11" s="1"/>
  <c r="B130" i="10"/>
  <c r="G102" i="11"/>
  <c r="G106" i="11" s="1"/>
  <c r="B106" i="10"/>
  <c r="B251" i="11"/>
  <c r="B200" i="5"/>
  <c r="B194" i="5"/>
  <c r="B253" i="11" s="1"/>
  <c r="W208" i="6"/>
  <c r="B188" i="6"/>
  <c r="B192" i="6" s="1"/>
  <c r="B194" i="6" s="1"/>
  <c r="F123" i="11"/>
  <c r="F130" i="11" s="1"/>
  <c r="B130" i="9"/>
  <c r="C200" i="11"/>
  <c r="D199" i="11" s="1"/>
  <c r="F102" i="11"/>
  <c r="F106" i="11" s="1"/>
  <c r="B106" i="9"/>
  <c r="D197" i="11"/>
  <c r="E196" i="11" s="1"/>
  <c r="E197" i="11" s="1"/>
  <c r="F196" i="11" s="1"/>
  <c r="F197" i="11" s="1"/>
  <c r="G196" i="11" s="1"/>
  <c r="G197" i="11" s="1"/>
  <c r="O32" i="12"/>
  <c r="O57" i="12"/>
  <c r="O33" i="12" l="1"/>
  <c r="B47" i="10"/>
  <c r="G47" i="11" s="1"/>
  <c r="G54" i="11" s="1"/>
  <c r="G55" i="11" s="1"/>
  <c r="G188" i="11" s="1"/>
  <c r="G192" i="11" s="1"/>
  <c r="G194" i="11" s="1"/>
  <c r="B47" i="9"/>
  <c r="B54" i="9" s="1"/>
  <c r="B55" i="9" s="1"/>
  <c r="W208" i="9" s="1"/>
  <c r="D200" i="11"/>
  <c r="E199" i="11" s="1"/>
  <c r="E47" i="11"/>
  <c r="E54" i="11" s="1"/>
  <c r="E55" i="11" s="1"/>
  <c r="E188" i="11" s="1"/>
  <c r="E192" i="11" s="1"/>
  <c r="E194" i="11" s="1"/>
  <c r="W208" i="8"/>
  <c r="B188" i="8"/>
  <c r="B192" i="8" s="1"/>
  <c r="O102" i="12"/>
  <c r="W208" i="7"/>
  <c r="B188" i="7"/>
  <c r="B192" i="7" s="1"/>
  <c r="B194" i="7" s="1"/>
  <c r="B197" i="7"/>
  <c r="B196" i="8" s="1"/>
  <c r="B193" i="8" s="1"/>
  <c r="B197" i="8" s="1"/>
  <c r="B196" i="9" s="1"/>
  <c r="B193" i="9" s="1"/>
  <c r="B197" i="9" s="1"/>
  <c r="B196" i="10" s="1"/>
  <c r="B193" i="10" s="1"/>
  <c r="B197" i="10" s="1"/>
  <c r="M104" i="12"/>
  <c r="I104" i="12"/>
  <c r="E104" i="12"/>
  <c r="L104" i="12"/>
  <c r="H104" i="12"/>
  <c r="D104" i="12"/>
  <c r="K104" i="12"/>
  <c r="G104" i="12"/>
  <c r="C104" i="12"/>
  <c r="N104" i="12"/>
  <c r="J104" i="12"/>
  <c r="F104" i="12"/>
  <c r="B5" i="12"/>
  <c r="O5" i="12" s="1"/>
  <c r="B255" i="11"/>
  <c r="B6" i="12"/>
  <c r="B199" i="6"/>
  <c r="B200" i="6" s="1"/>
  <c r="B199" i="7" s="1"/>
  <c r="F47" i="11" l="1"/>
  <c r="F54" i="11" s="1"/>
  <c r="F55" i="11" s="1"/>
  <c r="F188" i="11" s="1"/>
  <c r="F192" i="11" s="1"/>
  <c r="F194" i="11" s="1"/>
  <c r="B54" i="10"/>
  <c r="B55" i="10" s="1"/>
  <c r="W208" i="10" s="1"/>
  <c r="B194" i="8"/>
  <c r="E200" i="11"/>
  <c r="F199" i="11" s="1"/>
  <c r="B188" i="9"/>
  <c r="B192" i="9" s="1"/>
  <c r="B194" i="9" s="1"/>
  <c r="B200" i="7"/>
  <c r="B199" i="8" s="1"/>
  <c r="B200" i="8" s="1"/>
  <c r="B199" i="9" s="1"/>
  <c r="O104" i="12"/>
  <c r="C106" i="12"/>
  <c r="D106" i="12" s="1"/>
  <c r="E106" i="12" s="1"/>
  <c r="F106" i="12" s="1"/>
  <c r="G106" i="12" s="1"/>
  <c r="H106" i="12" s="1"/>
  <c r="I106" i="12" s="1"/>
  <c r="J106" i="12" s="1"/>
  <c r="K106" i="12" s="1"/>
  <c r="L106" i="12" s="1"/>
  <c r="M106" i="12" s="1"/>
  <c r="N106" i="12" s="1"/>
  <c r="O6" i="12"/>
  <c r="C6" i="12"/>
  <c r="C5" i="12"/>
  <c r="F200" i="11" l="1"/>
  <c r="G199" i="11" s="1"/>
  <c r="G200" i="11" s="1"/>
  <c r="B188" i="10"/>
  <c r="B192" i="10" s="1"/>
  <c r="B194" i="10" s="1"/>
  <c r="B200" i="9"/>
  <c r="B199" i="10" s="1"/>
  <c r="D6" i="12"/>
  <c r="D5" i="12"/>
  <c r="B200" i="10" l="1"/>
  <c r="E5" i="12"/>
  <c r="E6" i="12"/>
  <c r="F5" i="12" l="1"/>
  <c r="F6" i="12"/>
  <c r="G6" i="12" l="1"/>
  <c r="G5" i="12"/>
  <c r="H6" i="12" l="1"/>
  <c r="H5" i="12"/>
  <c r="I5" i="12" l="1"/>
  <c r="I6" i="12"/>
  <c r="J5" i="12" l="1"/>
  <c r="J6" i="12"/>
  <c r="K6" i="12" l="1"/>
  <c r="K5" i="12"/>
  <c r="L6" i="12" l="1"/>
  <c r="L5" i="12"/>
  <c r="M5" i="12" l="1"/>
  <c r="M6" i="12"/>
  <c r="N5" i="12" l="1"/>
  <c r="N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Determan</author>
  </authors>
  <commentList>
    <comment ref="C167" authorId="0" shapeId="0" xr:uid="{5D54D6A7-48F3-4EE7-907F-5DD737D45962}">
      <text>
        <r>
          <rPr>
            <b/>
            <sz val="9"/>
            <color indexed="81"/>
            <rFont val="Tahoma"/>
            <charset val="1"/>
          </rPr>
          <t>Katie Determan:</t>
        </r>
        <r>
          <rPr>
            <sz val="9"/>
            <color indexed="81"/>
            <rFont val="Tahoma"/>
            <charset val="1"/>
          </rPr>
          <t xml:space="preserve">
$40k Psych; $20k Social Worker; $35k Speech; $5k OT</t>
        </r>
      </text>
    </comment>
  </commentList>
</comments>
</file>

<file path=xl/sharedStrings.xml><?xml version="1.0" encoding="utf-8"?>
<sst xmlns="http://schemas.openxmlformats.org/spreadsheetml/2006/main" count="1966" uniqueCount="489">
  <si>
    <t>Staffing Plan</t>
  </si>
  <si>
    <t>FTE Summary</t>
  </si>
  <si>
    <t>Year 0</t>
  </si>
  <si>
    <t>Year 1</t>
  </si>
  <si>
    <t>Year 2</t>
  </si>
  <si>
    <t>Year 3</t>
  </si>
  <si>
    <t>Year 4</t>
  </si>
  <si>
    <t>Year 5</t>
  </si>
  <si>
    <t>Regardless of full time or part time staff eligibility, FTE is calculated by taking number of hours worked per week divided by 40 hours per week for all positions except for licensed, instructional staffing.  For licensed, instructional staffing FTE a 1.0 FTE is the equivalent of 7.5 hours per day for 5 days per week.</t>
  </si>
  <si>
    <t>Administrative</t>
  </si>
  <si>
    <t>Cells in yellow should be filled out by applicant</t>
  </si>
  <si>
    <t>Licensed</t>
  </si>
  <si>
    <t>Professional</t>
  </si>
  <si>
    <t>Classified</t>
  </si>
  <si>
    <t>Student/Teacher Ratio</t>
  </si>
  <si>
    <t>Student/Staff Ratio</t>
  </si>
  <si>
    <t>Example: 20 hours per week is 0.5 FTE</t>
  </si>
  <si>
    <t>Support Staffing</t>
  </si>
  <si>
    <t>Position</t>
  </si>
  <si>
    <t>Position Type</t>
  </si>
  <si>
    <t>FTE</t>
  </si>
  <si>
    <t>Class Size</t>
  </si>
  <si>
    <t>Total Students</t>
  </si>
  <si>
    <t>Position Salary</t>
  </si>
  <si>
    <t>Total Salaries</t>
  </si>
  <si>
    <t>Principal</t>
  </si>
  <si>
    <t>Assistant Principal</t>
  </si>
  <si>
    <t>Social Worker</t>
  </si>
  <si>
    <t>Counselor</t>
  </si>
  <si>
    <t>Office Assistant</t>
  </si>
  <si>
    <t>Information Technology</t>
  </si>
  <si>
    <t>Security</t>
  </si>
  <si>
    <t>Custodian</t>
  </si>
  <si>
    <t>Other</t>
  </si>
  <si>
    <t>Subtotal - Support</t>
  </si>
  <si>
    <t>Instructional Staffing</t>
  </si>
  <si>
    <t>Kindergarten</t>
  </si>
  <si>
    <t>1st Grade</t>
  </si>
  <si>
    <t>2nd Grade</t>
  </si>
  <si>
    <t>3rd Grade</t>
  </si>
  <si>
    <t>4th Grade</t>
  </si>
  <si>
    <t>5th Grade</t>
  </si>
  <si>
    <t>6th Grade</t>
  </si>
  <si>
    <t>HS - English</t>
  </si>
  <si>
    <t>HS - Math</t>
  </si>
  <si>
    <t>HS - Science</t>
  </si>
  <si>
    <t>HS - Social Studies</t>
  </si>
  <si>
    <t>Foreign Language</t>
  </si>
  <si>
    <t>Electives</t>
  </si>
  <si>
    <t>Special Education</t>
  </si>
  <si>
    <t>Paraprofessionals - Special Ed</t>
  </si>
  <si>
    <t>Paraprofessionals - General</t>
  </si>
  <si>
    <t>Subtotal - Instructional</t>
  </si>
  <si>
    <t>Total Staffing</t>
  </si>
  <si>
    <t>Annual Pay Increase - Support</t>
  </si>
  <si>
    <t>Annual Pay Increase - Instructional</t>
  </si>
  <si>
    <t>Unit Cost</t>
  </si>
  <si>
    <t>Required</t>
  </si>
  <si>
    <t>District Support Staff</t>
  </si>
  <si>
    <t>Emergency Management</t>
  </si>
  <si>
    <t>Infinite Campus License</t>
  </si>
  <si>
    <t>Assessment Services</t>
  </si>
  <si>
    <t>Treasurer Fees</t>
  </si>
  <si>
    <t>Workday</t>
  </si>
  <si>
    <t>Contingent Worker Fee at 0.125 (x FTEmployee) x $48.17</t>
  </si>
  <si>
    <t>Gmail</t>
  </si>
  <si>
    <t>Special Education Tier 1</t>
  </si>
  <si>
    <t>Start-up Grant</t>
  </si>
  <si>
    <t>3% Administration Fee in Year 2 and 3</t>
  </si>
  <si>
    <t>Optional</t>
  </si>
  <si>
    <t>AIMSweb</t>
  </si>
  <si>
    <t>Actual Cost</t>
  </si>
  <si>
    <t>CogAT (Gifted Education)</t>
  </si>
  <si>
    <t>DRA Testing</t>
  </si>
  <si>
    <t>Cost of Kit</t>
  </si>
  <si>
    <t>MAP Testing</t>
  </si>
  <si>
    <t>Data Download</t>
  </si>
  <si>
    <t>$75 annually</t>
  </si>
  <si>
    <t>Business Services</t>
  </si>
  <si>
    <t>RevTrak</t>
  </si>
  <si>
    <t>3.49% processing fee to third party vendor</t>
  </si>
  <si>
    <t>Mail Services</t>
  </si>
  <si>
    <t>Intra-district Mail &amp; Bulk Mailings</t>
  </si>
  <si>
    <t>Curriculum / Instruction Services</t>
  </si>
  <si>
    <t>Art Show</t>
  </si>
  <si>
    <t>1-20; $100
21-50; $200
51-100; $300
100+; $400</t>
  </si>
  <si>
    <t>Spelling Bee</t>
  </si>
  <si>
    <t>$60 per participant</t>
  </si>
  <si>
    <t>$60/participant</t>
  </si>
  <si>
    <t>Cyber School Service</t>
  </si>
  <si>
    <t>eDCSD CO Cyber School</t>
  </si>
  <si>
    <t>$350 per course</t>
  </si>
  <si>
    <t>Facilities Management Services</t>
  </si>
  <si>
    <t>Preventive Maintenance</t>
  </si>
  <si>
    <t>Actual cost, plus supplies and materials</t>
  </si>
  <si>
    <t>Consulting</t>
  </si>
  <si>
    <t>Environmental Consulting Services</t>
  </si>
  <si>
    <t>Health Services</t>
  </si>
  <si>
    <t>School Nurse Consultant</t>
  </si>
  <si>
    <t>Health Oversight</t>
  </si>
  <si>
    <t>Homebound Services</t>
  </si>
  <si>
    <t>Actual Cost per student</t>
  </si>
  <si>
    <t>Human Resources</t>
  </si>
  <si>
    <t>Human Resources Services</t>
  </si>
  <si>
    <t>Staffing</t>
  </si>
  <si>
    <t>Staffing Posting - basic (additional posting at cost)</t>
  </si>
  <si>
    <t>$50 per posting</t>
  </si>
  <si>
    <t>Substitute One time Set-up Fee</t>
  </si>
  <si>
    <t>Substitute Annual/license fee</t>
  </si>
  <si>
    <t>Substitute Administration and District Posting fee per year</t>
  </si>
  <si>
    <t>Information Technology Services</t>
  </si>
  <si>
    <t>-Qwest Geo Max</t>
  </si>
  <si>
    <t>$1,253 per month</t>
  </si>
  <si>
    <t>T1 Circuit to Wan</t>
  </si>
  <si>
    <t>2,500 one-time router cost</t>
  </si>
  <si>
    <t>Network Router</t>
  </si>
  <si>
    <t>233 annual router maintenance</t>
  </si>
  <si>
    <t>Media Services</t>
  </si>
  <si>
    <t>Full Media Services</t>
  </si>
  <si>
    <t>Media Delivery Truck</t>
  </si>
  <si>
    <t>Destiny Library Catalog one-time software purchase</t>
  </si>
  <si>
    <t>Range: $1,799 to $2,699</t>
  </si>
  <si>
    <t>Title Peak module</t>
  </si>
  <si>
    <t>Updates for Destiny Software</t>
  </si>
  <si>
    <t>Resource Manager -  Follett Learning</t>
  </si>
  <si>
    <t xml:space="preserve">Renewal for Resource Manager </t>
  </si>
  <si>
    <t>Follett WebPath Express</t>
  </si>
  <si>
    <t>Overdrive Advantage shelf</t>
  </si>
  <si>
    <t>Overdrive renewal</t>
  </si>
  <si>
    <t>Movie Licensing USA</t>
  </si>
  <si>
    <t>$345 per school average</t>
  </si>
  <si>
    <t>Typing Pal</t>
  </si>
  <si>
    <t>JStor</t>
  </si>
  <si>
    <t>Tumble Books</t>
  </si>
  <si>
    <t>Start-up collection and cataloging services</t>
  </si>
  <si>
    <t>Varies</t>
  </si>
  <si>
    <t>School Marshal Officer Program</t>
  </si>
  <si>
    <t>School Resource Officer Program</t>
  </si>
  <si>
    <t>Special Education Services</t>
  </si>
  <si>
    <t>New Charters SPED Start Up Costs</t>
  </si>
  <si>
    <t xml:space="preserve">*Please Note Purchased Service Fees are based on FY17-18 numbers.  These Fees will increase for FY18-19 as well as FY19-20. Estimated yearly increases of 6%.   </t>
  </si>
  <si>
    <t>YEAR 0</t>
  </si>
  <si>
    <t>Funded Pupil Count</t>
  </si>
  <si>
    <t>BUDGET</t>
  </si>
  <si>
    <t>Revenues</t>
  </si>
  <si>
    <t>Local Support</t>
  </si>
  <si>
    <t>Mill Levy Override</t>
  </si>
  <si>
    <t>Tuition</t>
  </si>
  <si>
    <t>Food Services</t>
  </si>
  <si>
    <t>Interest Income</t>
  </si>
  <si>
    <t>Child Care Fees</t>
  </si>
  <si>
    <t>Student Participation Fees</t>
  </si>
  <si>
    <t>Rental/Lease</t>
  </si>
  <si>
    <t>Other Local Revenue</t>
  </si>
  <si>
    <t>Total Local Support</t>
  </si>
  <si>
    <t>State Support</t>
  </si>
  <si>
    <t>Total Program (PPR x Funded Pupil Count)</t>
  </si>
  <si>
    <t>Capital Construction</t>
  </si>
  <si>
    <t>Other State Revenue</t>
  </si>
  <si>
    <t>Total State Support</t>
  </si>
  <si>
    <t>Federal Support</t>
  </si>
  <si>
    <t>Federal Grant Income</t>
  </si>
  <si>
    <t>Total Federal Support</t>
  </si>
  <si>
    <t>Total Revenues</t>
  </si>
  <si>
    <t>Check</t>
  </si>
  <si>
    <t>Expenses</t>
  </si>
  <si>
    <t>INSTRUCTIONAL STAFF SALARIES</t>
  </si>
  <si>
    <t>Licensed (Teacher) Salaries</t>
  </si>
  <si>
    <t>Classified (Paraprofessional) Salaries</t>
  </si>
  <si>
    <t>Total Instructional Salaries</t>
  </si>
  <si>
    <t>SUPPORT STAFF SALARIES</t>
  </si>
  <si>
    <t>Professional Salaries</t>
  </si>
  <si>
    <t>Licensed (Other) Salaries</t>
  </si>
  <si>
    <t>Classified (Other) Salaries</t>
  </si>
  <si>
    <t>Total Support Salaries</t>
  </si>
  <si>
    <t>OTHER SALARIES</t>
  </si>
  <si>
    <t>Additional Pay - Instructional</t>
  </si>
  <si>
    <t>Additional Pay - Support</t>
  </si>
  <si>
    <t>Substitutes</t>
  </si>
  <si>
    <t>Total Other Salaries</t>
  </si>
  <si>
    <t>BENEFITS</t>
  </si>
  <si>
    <t>PERA</t>
  </si>
  <si>
    <t>Medicare</t>
  </si>
  <si>
    <t>Medical</t>
  </si>
  <si>
    <t>Dental</t>
  </si>
  <si>
    <t>Vision</t>
  </si>
  <si>
    <t>Life/Short Term Disability/Long Term Disability</t>
  </si>
  <si>
    <t>Total Benefits</t>
  </si>
  <si>
    <t xml:space="preserve"> Total Salaries and Benefits</t>
  </si>
  <si>
    <t>REQUIRED PURCHASED SERVICES</t>
  </si>
  <si>
    <t>Student Information System (IC)</t>
  </si>
  <si>
    <t>Assessment Services: All State &amp; District
Required Assessments Include UIP</t>
  </si>
  <si>
    <t>Start Up Grant Administration Fee</t>
  </si>
  <si>
    <t>Total Required Purchased Services</t>
  </si>
  <si>
    <t>PURCHASED SERVICES - ASSESSMENT SERVICES</t>
  </si>
  <si>
    <t>Total Assessment Services</t>
  </si>
  <si>
    <t>PURCHASED SERVICES - BUSINESS SERVICES</t>
  </si>
  <si>
    <t>Total Business Services</t>
  </si>
  <si>
    <t>PURCHASED SERVICES - CURRICULUM &amp; INSTRUCTION SERVICES</t>
  </si>
  <si>
    <t>Total Curriculum &amp; Instruction Services</t>
  </si>
  <si>
    <t>PURCHASED SERVICES - FACILITIES MANAGEMENT SERVICES</t>
  </si>
  <si>
    <t>Environmental Consulting Service</t>
  </si>
  <si>
    <t>Total Facilities Management Services</t>
  </si>
  <si>
    <t>PURCHASED SERVICES - HEALTH SERVICES</t>
  </si>
  <si>
    <t>Total Health Services</t>
  </si>
  <si>
    <t>PURCHASED SERVICES - HUMAN RESOURCES SERVICES</t>
  </si>
  <si>
    <t>Staff Posting - basic (additional posting at cost)</t>
  </si>
  <si>
    <t>Substitute Annual License Fee</t>
  </si>
  <si>
    <t>Total Human Resources Services</t>
  </si>
  <si>
    <t>PURCHASED SERVICES - INFORMATION TECHNOLOGY SERVICES</t>
  </si>
  <si>
    <t>Qwest Geo Max</t>
  </si>
  <si>
    <t>Total Information Technology Services</t>
  </si>
  <si>
    <t>PURCHASED SERVICES - MEDIA SERVICES</t>
  </si>
  <si>
    <t>Full Media Services - includes Bibliographic services, technical support for Destiny Library, and bibliographic and technical support for e-content. Media/Resource access from the Innovation and Design Center.</t>
  </si>
  <si>
    <t>Total Media Services</t>
  </si>
  <si>
    <t>PURCHASED SERVICES - SECURITY SERVICES</t>
  </si>
  <si>
    <t>Total Security Services</t>
  </si>
  <si>
    <t>NON DCSD PURCHASED SERVICES</t>
  </si>
  <si>
    <t>Fire/Security</t>
  </si>
  <si>
    <t>Water/Sewer</t>
  </si>
  <si>
    <t>Snow/Removal</t>
  </si>
  <si>
    <t>Natural Gas</t>
  </si>
  <si>
    <t>Electricity</t>
  </si>
  <si>
    <t>Lawn Care</t>
  </si>
  <si>
    <t>Trash</t>
  </si>
  <si>
    <t>Custodial</t>
  </si>
  <si>
    <t>Facility Lease</t>
  </si>
  <si>
    <t>Rental of Land and Building</t>
  </si>
  <si>
    <t>Rental of Equipment</t>
  </si>
  <si>
    <t>Repairs and Maintenance</t>
  </si>
  <si>
    <t>Liability Insurance</t>
  </si>
  <si>
    <t>Telephone</t>
  </si>
  <si>
    <t>Postage and Delivery</t>
  </si>
  <si>
    <t>Advertising</t>
  </si>
  <si>
    <t>Printing</t>
  </si>
  <si>
    <t>Bank Fees</t>
  </si>
  <si>
    <t>Legal Fees</t>
  </si>
  <si>
    <t>Travel Registration and Entry</t>
  </si>
  <si>
    <t>Total Non DCSD Purchased Services</t>
  </si>
  <si>
    <t>SUPPLIES AND MATERIALS</t>
  </si>
  <si>
    <t>General Supplies</t>
  </si>
  <si>
    <t>Office Supplies</t>
  </si>
  <si>
    <t>Textbooks</t>
  </si>
  <si>
    <t>Software</t>
  </si>
  <si>
    <t>Food</t>
  </si>
  <si>
    <t>Total Supplies and Materials</t>
  </si>
  <si>
    <t>PROPERTY</t>
  </si>
  <si>
    <t>Technology</t>
  </si>
  <si>
    <t>Fixtures and Furniture Classroom</t>
  </si>
  <si>
    <t>Fixtures and Furniture Office</t>
  </si>
  <si>
    <t>Non-Capital Equipment</t>
  </si>
  <si>
    <t>Total Property</t>
  </si>
  <si>
    <t>OTHER OBJECTS</t>
  </si>
  <si>
    <t>Dues and Fees</t>
  </si>
  <si>
    <t>Interest and Service Charges</t>
  </si>
  <si>
    <t>Total Other Objects</t>
  </si>
  <si>
    <t>Total Expenses</t>
  </si>
  <si>
    <t>Contingency Reserve</t>
  </si>
  <si>
    <t>Net Income</t>
  </si>
  <si>
    <t>TABOR RESERVE (Cumulative 3% X (Total Revenue - Federal Revenue) - Prior Year Ending TABOR Reserve)</t>
  </si>
  <si>
    <t>Unrestricted Reserve</t>
  </si>
  <si>
    <t>Beginning TABOR Reserve</t>
  </si>
  <si>
    <t>Ending TABOR Reserve</t>
  </si>
  <si>
    <t>Beginning Fund Balance</t>
  </si>
  <si>
    <t>Ending Fund Balance</t>
  </si>
  <si>
    <t>YEAR 1</t>
  </si>
  <si>
    <t>TotalBenefits</t>
  </si>
  <si>
    <t>Assumptions</t>
  </si>
  <si>
    <t>Purchase Optional Services?</t>
  </si>
  <si>
    <t>Charter Applicant Notes</t>
  </si>
  <si>
    <t>DCSD Notes</t>
  </si>
  <si>
    <t>ENROLLMENT</t>
  </si>
  <si>
    <t>Early Childhood Education (ECE)</t>
  </si>
  <si>
    <t>yes</t>
  </si>
  <si>
    <t>Sum from staffing tab</t>
  </si>
  <si>
    <t>yes - no year 0</t>
  </si>
  <si>
    <t>Total</t>
  </si>
  <si>
    <t>Grade 1</t>
  </si>
  <si>
    <t>no</t>
  </si>
  <si>
    <t>Per Pupil</t>
  </si>
  <si>
    <t>Grade 2</t>
  </si>
  <si>
    <t>Grade 3</t>
  </si>
  <si>
    <t>Grade 4</t>
  </si>
  <si>
    <t>Grade 5</t>
  </si>
  <si>
    <t>Grade 6</t>
  </si>
  <si>
    <t>Grade 7</t>
  </si>
  <si>
    <t>Use the number of enrolled students - should match totals on staffing tab</t>
  </si>
  <si>
    <t>Grade 8</t>
  </si>
  <si>
    <t>Grade 9</t>
  </si>
  <si>
    <t>Grade 10</t>
  </si>
  <si>
    <t>Grade 11</t>
  </si>
  <si>
    <t>Grade 12</t>
  </si>
  <si>
    <t>Total Enrollment</t>
  </si>
  <si>
    <t>Total FTE</t>
  </si>
  <si>
    <t>Remember that Kindergarten is counted at .50 for FTE purposes</t>
  </si>
  <si>
    <t>Total Funded Pupil Count</t>
  </si>
  <si>
    <t>Remember that Kindergarten is counted at .58 for per pupil funding purposes</t>
  </si>
  <si>
    <t>Projected Free Lunch (FL) Percentage</t>
  </si>
  <si>
    <t>Used in determining PPR allocation</t>
  </si>
  <si>
    <t>Projected English Language Learner (ELL) Percentage</t>
  </si>
  <si>
    <t>Includes anyone eligible to take the ACCESS test -- Used in Title III allocation</t>
  </si>
  <si>
    <t>REVENUE</t>
  </si>
  <si>
    <t>Per Pupil Revenue</t>
  </si>
  <si>
    <t>Year 1 Recommended PPR: $7,721; Assuming 2% increase YOY</t>
  </si>
  <si>
    <t>Year 1 Recommended MLO: $543; Per FTE amount - assume 98% of PY MLO</t>
  </si>
  <si>
    <t>Total $ amount</t>
  </si>
  <si>
    <t>Per funded pupil; Year 1 Recommended: $255</t>
  </si>
  <si>
    <t>Total $ amount, include Start Up Grant in Year 0</t>
  </si>
  <si>
    <t>Total $ amount; Provide detail in budget narrative</t>
  </si>
  <si>
    <t>SALARIES - INSTRUCTIONAL</t>
  </si>
  <si>
    <t>sum from staffing tab</t>
  </si>
  <si>
    <t>Number of Benefits Eligible Staff (Medical, Dental, etc.)</t>
  </si>
  <si>
    <t>FTE eligible out of total instructional FTE, sum from staffing tab</t>
  </si>
  <si>
    <t>SALARIES - SUPPORT</t>
  </si>
  <si>
    <t>FTE eligible out of total support FTE, sum from staffing tab</t>
  </si>
  <si>
    <t>SALARIES - OTHER</t>
  </si>
  <si>
    <t>total for all grades</t>
  </si>
  <si>
    <t>Number of Substitutes per Eligible Staff</t>
  </si>
  <si>
    <t>total substitute coverage per eligible staff</t>
  </si>
  <si>
    <t>Number of Eligible Staff for Substitutes</t>
  </si>
  <si>
    <t>sum from staffing tab, can override</t>
  </si>
  <si>
    <t>Substitute - Rate</t>
  </si>
  <si>
    <t>set daily rate to then be multiplied by number of substitutes per FTE</t>
  </si>
  <si>
    <t>School Division Blended PERA rate beginning in January 2017</t>
  </si>
  <si>
    <t>for all staff</t>
  </si>
  <si>
    <t>annual cost per qualifying employee</t>
  </si>
  <si>
    <t>No cost at this time</t>
  </si>
  <si>
    <t>Hourly Rate - $90</t>
  </si>
  <si>
    <t>YEAR 2</t>
  </si>
  <si>
    <t>Building Size</t>
  </si>
  <si>
    <t>Make note of sq foot per student body; for facility lease calculation only</t>
  </si>
  <si>
    <t>Annual Lease Rate</t>
  </si>
  <si>
    <t>Lease rate per year; used for facility lease calculation only</t>
  </si>
  <si>
    <t>Bldg size* Annual lease rate*Cost per Sq Ft</t>
  </si>
  <si>
    <t>Cost per Square Foot</t>
  </si>
  <si>
    <t>Assumes cost/sq ft for building and land; for facility lease calculation only</t>
  </si>
  <si>
    <t>Additional Non DCSD Purchased Services please add if applicable</t>
  </si>
  <si>
    <t>YEAR 3</t>
  </si>
  <si>
    <t>YEAR 4</t>
  </si>
  <si>
    <t>Douglas County School District Charter Application: FY 2019-2020</t>
  </si>
  <si>
    <t>Budget Template Instructions</t>
  </si>
  <si>
    <t xml:space="preserve">INSTRUCTIONS SPECIFIC TO DOUGLAS COUNTY SCHOOL DISTRICT </t>
  </si>
  <si>
    <t>A separate supplemental budget form may be completed by the school; however, this form is mandatory for the DCSD charter application process.</t>
  </si>
  <si>
    <r>
      <t xml:space="preserve">Yellow Cells - </t>
    </r>
    <r>
      <rPr>
        <sz val="11"/>
        <color rgb="FF000000"/>
        <rFont val="Calibri"/>
      </rPr>
      <t>On all of the tabs please fill out the yellow cells if applicable.</t>
    </r>
  </si>
  <si>
    <r>
      <t xml:space="preserve">Green Cells - </t>
    </r>
    <r>
      <rPr>
        <sz val="11"/>
        <color rgb="FF000000"/>
        <rFont val="Calibri"/>
      </rPr>
      <t>Cells that are green are pre-populated with data that you can override if you would like to change the assumption.</t>
    </r>
  </si>
  <si>
    <r>
      <t xml:space="preserve">White Cells - </t>
    </r>
    <r>
      <rPr>
        <sz val="11"/>
        <color rgb="FF000000"/>
        <rFont val="Calibri"/>
      </rPr>
      <t>Cannot be overridden, white cells are automatically populated based on formulas calculated from previously entered data.</t>
    </r>
  </si>
  <si>
    <r>
      <t xml:space="preserve">Grey Cells - </t>
    </r>
    <r>
      <rPr>
        <sz val="11"/>
        <color rgb="FF000000"/>
        <rFont val="Calibri"/>
      </rPr>
      <t>Should not contain any information, and nothing can be added into these cells.</t>
    </r>
  </si>
  <si>
    <t>1. Staffing Tab</t>
  </si>
  <si>
    <t>Enter in the school name at the top of the Staffing Tab on (row 1).</t>
  </si>
  <si>
    <t>Enter in the number of FTE per grade, per subject area and per support position starting with year 0 (cell C14).  Partial FTE can be calculated using the methodology in (cell I4) on the staffing tab. Only the FTE for the positions you wish to staff need to be filled out.</t>
  </si>
  <si>
    <t>Enter in the average salary for 1 FTE in the position salary column for each of the positions you wish to staff starting with year 0 (cell F14).</t>
  </si>
  <si>
    <t>Enter in the number of students per grade for elementary school in the instructional staffing section starting with year 1 by entering the class size per FTE (cell I32).  Only the grades you will serve need to be filled out.</t>
  </si>
  <si>
    <t>Enter in the number of students per subject area for secondary school in the instructional staffing section starting with year 1 by entering the total number of students served (cell J39). Only the subject areas you will serve need to be filled out.</t>
  </si>
  <si>
    <t>Enter in the pay increases you wish to provide starting with year 1 at the bottom of the staffing tab (cell K64) for Support Staffing and starting with year 2 at the bottom of the staffing tab (cells P64 and P65) for Instructional Staffing.</t>
  </si>
  <si>
    <r>
      <t xml:space="preserve">For the positions titled </t>
    </r>
    <r>
      <rPr>
        <i/>
        <sz val="11"/>
        <rFont val="Calibri"/>
      </rPr>
      <t>Other</t>
    </r>
    <r>
      <rPr>
        <sz val="11"/>
        <rFont val="Calibri"/>
      </rPr>
      <t xml:space="preserve"> please fill in the appropriate title and select the appropriate position type (Licensed, Classified, Administrative, etc.) if applicable.</t>
    </r>
  </si>
  <si>
    <t>Instructional Staffing in Year 1 assumes 10 months out of 12 months for the calculated salary and benefit amount on the cash flow statement but 12 months for the budget.</t>
  </si>
  <si>
    <t>The remainder of the formulas on the staffing tab (including FTE summary box and ratios at the top) will automatically populate when the above information is filled out.</t>
  </si>
  <si>
    <t>2. Assumptions Tab</t>
  </si>
  <si>
    <t>In the enrollment section please fill in the ECE and Grades 7 through 12 if applicable. Grades K-6 auto-populate from the staffing tab.</t>
  </si>
  <si>
    <t>Enter in the per pupil or total revenue and expense amounts per line item using the DCSD notes in the far right column (J) of the assumptions tab.</t>
  </si>
  <si>
    <t>Instructional and Support Salaries will auto fill from Staffing tab. Enter in the other salaries and benefits.</t>
  </si>
  <si>
    <t>In the Non-DCSD Purchased Services section starting in (row 139) select from the pull-down in column H whether the amounts entered in columns B to G are a Total or Per Pupil dollar amount.</t>
  </si>
  <si>
    <r>
      <t xml:space="preserve">In the Non-DCSD Purchased Services section there are additional services in green titled </t>
    </r>
    <r>
      <rPr>
        <i/>
        <sz val="11"/>
        <rFont val="Calibri"/>
      </rPr>
      <t xml:space="preserve">Other </t>
    </r>
    <r>
      <rPr>
        <sz val="11"/>
        <rFont val="Calibri"/>
      </rPr>
      <t>for you to fill out if applicable.</t>
    </r>
  </si>
  <si>
    <t>In all other purchased services sections (rows 80-136) , enter in the purchased services sections only the services you wish to purchase from DCSD by selecting yes or no in the drop down list in column H.</t>
  </si>
  <si>
    <t>Supplies and Materials, Property, and Other Objects should all be entered using total dollar amounts at the bottom of the tab.</t>
  </si>
  <si>
    <t>The Charter Applicant Notes column (I) is for you to enter in any additional information you desire to share with DCSD.</t>
  </si>
  <si>
    <t>3. Individual Year and Summary Tabs</t>
  </si>
  <si>
    <t>If the first two tabs are filled out properly, the majority of this information will automatically populate.</t>
  </si>
  <si>
    <t>If budgeting for an annual contingency, the Contingency Reserve line must be filled out on each year's tab (cell B190).</t>
  </si>
  <si>
    <t>Before submitting your completed budget to DCSD, check that each year has a positive ending fund balance.</t>
  </si>
  <si>
    <t>TABOR is the Taxpayer Bill of Rights, passed in 1992. The State of Colorado requires each school district to reserve 3 percent or more of fiscal year spending to use only for declared emergencies called the TABOR Reserve. Individual Year Tabs include explanation of calculation for TABOR.</t>
  </si>
  <si>
    <t>4. Cash Flow Year 1</t>
  </si>
  <si>
    <t>This tab is automatically populated based on inputs from the previous tabs.</t>
  </si>
  <si>
    <t>Please contact Michael Millican (Budget Analyst) if you have any questions about the form at michael.millican@dcsdk12.org or 720-433-1110.</t>
  </si>
  <si>
    <t>INFORMATION FROM COLORADO CHARTER SCHOOL - STANDARD APPLICATION, CHECKLIST, AND REVIEW RUBRIC</t>
  </si>
  <si>
    <t>1. Component Description</t>
  </si>
  <si>
    <t>The budget and financial plan for the charter school must include a plan for revenues and expenditures and a plan for compliance with state and federal accounting and reporting requirements. The plan should demonstrate diligent financial practices, clear alignment to the other components in the application, and strong oversight. Particular attention should be given to facility and salary costs, as these often represent a large portion of the school’s budget.</t>
  </si>
  <si>
    <t>The proposed budget should be based on reasonable estimates that reflect choices made throughout the rest of the charter application. For example, enrollment projections used elsewhere in the application need to be the same enrollment projections used in the development of the budget. Similarly, facility, insurance and employment plans discussed in other sections of the application should be reflected in the budget, along with the basis for given assumptions.</t>
  </si>
  <si>
    <t>The budget should demonstrate an ability to understand the sources of funding available to the charter school and the types of expenditures required to operate the charter school. The primary source of revenue is Per Pupil Revenue (PPR). There are several other sources of revenue, some of which are temporary or restricted and some of which are dependent on market factors other than enrollment. However, PPR is the guaranteed stream of revenue which makes up most of the funding the school receives. When developing the budget all ongoing expenditures required to operate the school should be supported by PPR.</t>
  </si>
  <si>
    <t>The amount of PPR varies by school district. A charter school receives 100% of the PPR for the district in which the charter school resides. The charter school authorizer, whether a school district or the CSI, may retain up to 5% of PPR to cover the charter school’s portion of the authorizer’s central administration costs. In cases where the maximum is withheld, the charter school effectively receives 95% of its school district’s PPR. When projecting revenue numbers, the single most important factor to understand is enrollment. Enrollment projections must be accurate, and it is best to project conservatively for budget purposes.</t>
  </si>
  <si>
    <t>Other sources of revenue can be very helpful in funding specific programs or in helping with startup costs for new charter schools. These sources include federal grants, private grants, and more. CDE (www.cde.state.co.us) and the Colorado League of Charter Schools (the League) (www.coloradoleague.org ) are good resources for finding information about current sources of funding.</t>
  </si>
  <si>
    <t>When planning expenditures, it is important to understand how choices affect different areas of the budget. For example, the smaller the class size the less revenue there is to spend. Also, the more staff there is in the school the less money per staff member there is to spend. Finally, as another example, the more money spent on facility costs the less money there is for salaries and other discretionary items.</t>
  </si>
  <si>
    <t>In nearly all cases, the combination of facility costs and staff salaries/benefits represents close to 75% of spending in charter schools. As such, close attention should be paid to these two areas. In addition to these two areas, other items that need to be planned for financially include special education, various professional services, classroom supplies and materials, general supplies and materials, liability insurance, and more. Existing Colorado charter schools that have a similar mission/philosophy are a good resource for assistance with planning expenditures.</t>
  </si>
  <si>
    <t>In addition to budget projections, the charter school must comply with various requirements. In summary, the charter school needs to set up proper accounting procedures to safeguard its assets and to ensure accurate financial reporting. At the same time, it is important to be able to provide financial information in a clear, understandable format that allows board members and administration to make sound financial decisions. Note that online schools may have special considerations with respect to budgeting and financial reporting.</t>
  </si>
  <si>
    <t>The CDE requirements for financial management and reporting are available in the Financial Policies and Procedures manual at:</t>
  </si>
  <si>
    <t>www.cde.state.co.us/cdefinance/sfFPP.htm</t>
  </si>
  <si>
    <t>An additional resource with general information is the Colorado Charter School Financial Management Guide:</t>
  </si>
  <si>
    <t>https://www.dcsdk12.org/sites/default/files/Charter%20School%20Procedure%20Manual%203-9-16%20%281%29.pdf</t>
  </si>
  <si>
    <t xml:space="preserve">2. Checklist for Comprehensive Application </t>
  </si>
  <si>
    <r>
      <t>ü</t>
    </r>
    <r>
      <rPr>
        <sz val="7"/>
        <color rgb="FF000000"/>
        <rFont val="Times New Roman"/>
      </rPr>
      <t xml:space="preserve">  </t>
    </r>
    <r>
      <rPr>
        <sz val="11"/>
        <color rgb="FF000000"/>
        <rFont val="Calibri"/>
      </rPr>
      <t>The plan includes a five-year budget, realistic assumptions and their basis, a cash flow projection for the first year of operation, minimum enrollment needed for solvency, and adequate staffing that fits with the narrative in educational and other related application sections.</t>
    </r>
  </si>
  <si>
    <r>
      <t>ü</t>
    </r>
    <r>
      <rPr>
        <sz val="7"/>
        <color rgb="FF000000"/>
        <rFont val="Times New Roman"/>
      </rPr>
      <t xml:space="preserve">  </t>
    </r>
    <r>
      <rPr>
        <sz val="11"/>
        <color rgb="FF000000"/>
        <rFont val="Calibri"/>
      </rPr>
      <t>The budget reflects an understanding of specific statutory requirements including separation of the general fund and Title funds and grants, Public Employees’ Retirement Association (PERA ) contributions, as well as a three percent TABOR reserve (Colo. Const. Art. X, Sect. 20) each year.</t>
    </r>
  </si>
  <si>
    <r>
      <t>ü</t>
    </r>
    <r>
      <rPr>
        <sz val="7"/>
        <color rgb="FF000000"/>
        <rFont val="Times New Roman"/>
      </rPr>
      <t xml:space="preserve">  </t>
    </r>
    <r>
      <rPr>
        <sz val="11"/>
        <color rgb="FF000000"/>
        <rFont val="Calibri"/>
      </rPr>
      <t>The budget narrative reflects the financial policies and procedures plan, anticipated management plan that will ensure checks and balances in cash disbursement and alignment with the mission and goals.</t>
    </r>
  </si>
  <si>
    <r>
      <t>ü</t>
    </r>
    <r>
      <rPr>
        <sz val="7"/>
        <color rgb="FF000000"/>
        <rFont val="Times New Roman"/>
      </rPr>
      <t xml:space="preserve">  </t>
    </r>
    <r>
      <rPr>
        <sz val="11"/>
        <color rgb="FF000000"/>
        <rFont val="Calibri"/>
      </rPr>
      <t>The budget narrative includes a basic startup plan (facilities funding and FFE acquisition), the curriculum and professional development plan, and the school growth plan to include needed staff along with adequate financial allocations and anticipated timelines.</t>
    </r>
  </si>
  <si>
    <r>
      <t>ü</t>
    </r>
    <r>
      <rPr>
        <sz val="7"/>
        <color rgb="FF000000"/>
        <rFont val="Times New Roman"/>
      </rPr>
      <t xml:space="preserve">  </t>
    </r>
    <r>
      <rPr>
        <sz val="11"/>
        <color rgb="FF000000"/>
        <rFont val="Calibri"/>
      </rPr>
      <t>The budget is set up in such a way that it reflects an understanding of the CDE ’s Chart of Accounts and any financial reporting requirements of the district.</t>
    </r>
  </si>
  <si>
    <r>
      <t>ü</t>
    </r>
    <r>
      <rPr>
        <sz val="7"/>
        <color rgb="FF000000"/>
        <rFont val="Times New Roman"/>
      </rPr>
      <t xml:space="preserve">  </t>
    </r>
    <r>
      <rPr>
        <sz val="11"/>
        <color rgb="FF000000"/>
        <rFont val="Calibri"/>
      </rPr>
      <t>The budget does not include any “soft funds,” such as grant money or donations; it includes only grants or donations that have already been received or for which commitments have been received.</t>
    </r>
  </si>
  <si>
    <r>
      <t>ü</t>
    </r>
    <r>
      <rPr>
        <sz val="7"/>
        <color rgb="FF000000"/>
        <rFont val="Times New Roman"/>
      </rPr>
      <t xml:space="preserve">  </t>
    </r>
    <r>
      <rPr>
        <sz val="11"/>
        <color rgb="FF000000"/>
        <rFont val="Calibri"/>
      </rPr>
      <t>Evidence is provided for anticipated fundraising and grants, if cited in the application.</t>
    </r>
  </si>
  <si>
    <r>
      <t>ü</t>
    </r>
    <r>
      <rPr>
        <sz val="7"/>
        <color rgb="FF000000"/>
        <rFont val="Times New Roman"/>
      </rPr>
      <t xml:space="preserve">  </t>
    </r>
    <r>
      <rPr>
        <sz val="11"/>
        <color rgb="FF000000"/>
        <rFont val="Calibri"/>
      </rPr>
      <t>The proposed budget balances each year and includes a five-year plan to reach at least a five percent reserve (in addition to the TABOR reserve) that the school can use for emergency purposes or as a long-term reserve.</t>
    </r>
  </si>
  <si>
    <r>
      <t>ü</t>
    </r>
    <r>
      <rPr>
        <sz val="7"/>
        <color rgb="FF000000"/>
        <rFont val="Times New Roman"/>
      </rPr>
      <t xml:space="preserve">  </t>
    </r>
    <r>
      <rPr>
        <sz val="11"/>
        <color rgb="FF000000"/>
        <rFont val="Calibri"/>
      </rPr>
      <t>The application describes the process the school will follow to contract with a Certified Public Accountant to conduct an annual, independent financial audit. It explains how the school will remain fiscally solvent, adhere to generally acceptable accounting practices, have no material breaches, will address any concerns, and will disseminate the results from the audit to the school district and required state agencies.</t>
    </r>
  </si>
  <si>
    <r>
      <t>ü</t>
    </r>
    <r>
      <rPr>
        <sz val="7"/>
        <color rgb="FF000000"/>
        <rFont val="Times New Roman"/>
      </rPr>
      <t xml:space="preserve">  </t>
    </r>
    <r>
      <rPr>
        <sz val="11"/>
        <color rgb="FF000000"/>
        <rFont val="Calibri"/>
      </rPr>
      <t>The application includes a list of planned services to be contracted to outside providers.</t>
    </r>
  </si>
  <si>
    <t>3. Evaluation Rubric</t>
  </si>
  <si>
    <t>An excellent proposal will present a Financial Plan with the following characteristics:</t>
  </si>
  <si>
    <r>
      <t>•</t>
    </r>
    <r>
      <rPr>
        <sz val="7"/>
        <color rgb="FF000000"/>
        <rFont val="Times New Roman"/>
      </rPr>
      <t xml:space="preserve">        </t>
    </r>
    <r>
      <rPr>
        <sz val="11"/>
        <color rgb="FF000000"/>
        <rFont val="Calibri"/>
      </rPr>
      <t>Adequate budget assumptions and financial planning based on realistic revenue and expenditure projections and/or quotes for the term of the proposed contract (at least five years). These budget assumptions should be based on a minimum number of students needed for financial viability in addition to 100 percent of anticipated enrollment.</t>
    </r>
  </si>
  <si>
    <r>
      <t>•</t>
    </r>
    <r>
      <rPr>
        <sz val="7"/>
        <color rgb="FF000000"/>
        <rFont val="Times New Roman"/>
      </rPr>
      <t xml:space="preserve">        </t>
    </r>
    <r>
      <rPr>
        <sz val="11"/>
        <color rgb="FF000000"/>
        <rFont val="Calibri"/>
      </rPr>
      <t>Spending priorities that align with the school’s mission, curriculum, plans for management, professional development and growth.</t>
    </r>
  </si>
  <si>
    <r>
      <t>•</t>
    </r>
    <r>
      <rPr>
        <sz val="7"/>
        <color rgb="FF000000"/>
        <rFont val="Times New Roman"/>
      </rPr>
      <t xml:space="preserve">        </t>
    </r>
    <r>
      <rPr>
        <sz val="11"/>
        <color rgb="FF000000"/>
        <rFont val="Calibri"/>
      </rPr>
      <t>Three percent TABOR reserve and allocation of funds to PERA as required by law.</t>
    </r>
  </si>
  <si>
    <r>
      <t>•</t>
    </r>
    <r>
      <rPr>
        <sz val="7"/>
        <color rgb="FF000000"/>
        <rFont val="Times New Roman"/>
      </rPr>
      <t xml:space="preserve">        </t>
    </r>
    <r>
      <rPr>
        <sz val="11"/>
        <color rgb="FF000000"/>
        <rFont val="Calibri"/>
      </rPr>
      <t>Budget format as prescribed by the proposed authorizer.</t>
    </r>
  </si>
  <si>
    <r>
      <t>•</t>
    </r>
    <r>
      <rPr>
        <sz val="7"/>
        <color rgb="FF000000"/>
        <rFont val="Times New Roman"/>
      </rPr>
      <t xml:space="preserve">        </t>
    </r>
    <r>
      <rPr>
        <sz val="11"/>
        <color rgb="FF000000"/>
        <rFont val="Calibri"/>
      </rPr>
      <t>Realistic cash flow projection for the first year of operation including a plan for funding cash flow shortfalls.</t>
    </r>
  </si>
  <si>
    <r>
      <t>•</t>
    </r>
    <r>
      <rPr>
        <sz val="7"/>
        <color rgb="FF000000"/>
        <rFont val="Times New Roman"/>
      </rPr>
      <t xml:space="preserve">        </t>
    </r>
    <r>
      <rPr>
        <sz val="11"/>
        <color rgb="FF000000"/>
        <rFont val="Calibri"/>
      </rPr>
      <t>A sound financial management system proposed with adequate checks and balances, controls and staffing.</t>
    </r>
  </si>
  <si>
    <r>
      <t>•</t>
    </r>
    <r>
      <rPr>
        <sz val="7"/>
        <color rgb="FF000000"/>
        <rFont val="Times New Roman"/>
      </rPr>
      <t xml:space="preserve">        </t>
    </r>
    <r>
      <rPr>
        <sz val="11"/>
        <color rgb="FF000000"/>
        <rFont val="Calibri"/>
      </rPr>
      <t>A plan for making required school and employee contributions to the Colorado PERA is included.</t>
    </r>
  </si>
  <si>
    <r>
      <t>•</t>
    </r>
    <r>
      <rPr>
        <sz val="7"/>
        <color rgb="FF000000"/>
        <rFont val="Times New Roman"/>
      </rPr>
      <t xml:space="preserve">        </t>
    </r>
    <r>
      <rPr>
        <sz val="11"/>
        <color rgb="FF000000"/>
        <rFont val="Calibri"/>
      </rPr>
      <t>There is an adequate and reasonable plan to manage startup costs without complete dependence on federal or private grant funds.</t>
    </r>
  </si>
  <si>
    <r>
      <t>•</t>
    </r>
    <r>
      <rPr>
        <sz val="7"/>
        <color rgb="FF000000"/>
        <rFont val="Times New Roman"/>
      </rPr>
      <t xml:space="preserve">        </t>
    </r>
    <r>
      <rPr>
        <sz val="11"/>
        <color rgb="FF000000"/>
        <rFont val="Calibri"/>
      </rPr>
      <t>There is a description of how the school will conduct an annual audit of the financial and administrative operations of the school.</t>
    </r>
  </si>
  <si>
    <r>
      <t>•</t>
    </r>
    <r>
      <rPr>
        <sz val="7"/>
        <color rgb="FF000000"/>
        <rFont val="Times New Roman"/>
      </rPr>
      <t xml:space="preserve">        </t>
    </r>
    <r>
      <rPr>
        <sz val="11"/>
        <color rgb="FF000000"/>
        <rFont val="Calibri"/>
      </rPr>
      <t>There is a description of services to be purchased from the authorizer or other outside vendor(s).</t>
    </r>
  </si>
  <si>
    <t>Source: https://www.dcsdk12.org/choice/charter-school-application-process</t>
  </si>
  <si>
    <t>YEAR 5</t>
  </si>
  <si>
    <t>SUMMARY</t>
  </si>
  <si>
    <t>Checks</t>
  </si>
  <si>
    <t>TABOR</t>
  </si>
  <si>
    <t>Unrestricted</t>
  </si>
  <si>
    <t>BFB</t>
  </si>
  <si>
    <t>EFB</t>
  </si>
  <si>
    <t>CASH FLOW YEAR 1</t>
  </si>
  <si>
    <t>Beginning Cash Balance w/ TABOR</t>
  </si>
  <si>
    <t>Beginning Cash Balance w/o TABOR</t>
  </si>
  <si>
    <t>Local</t>
  </si>
  <si>
    <t>State</t>
  </si>
  <si>
    <t>Total Program</t>
  </si>
  <si>
    <t xml:space="preserve">Federal  </t>
  </si>
  <si>
    <t>Total Revenue</t>
  </si>
  <si>
    <t>EXPENDITURES</t>
  </si>
  <si>
    <t>Salaries</t>
  </si>
  <si>
    <t>Instructional Staff Salaries</t>
  </si>
  <si>
    <t>Support Staff Salaries</t>
  </si>
  <si>
    <t>Other Salaries</t>
  </si>
  <si>
    <t>Benefits</t>
  </si>
  <si>
    <t>Life/STD/LTD</t>
  </si>
  <si>
    <t>Other Benefits</t>
  </si>
  <si>
    <t>Required Purchased Services</t>
  </si>
  <si>
    <t>Optional Purchased Services</t>
  </si>
  <si>
    <t>Curriculum &amp; Instruction Services</t>
  </si>
  <si>
    <t>Security Services</t>
  </si>
  <si>
    <t>Non-DCSD Purchased Services</t>
  </si>
  <si>
    <t>Supplies and Materials</t>
  </si>
  <si>
    <t>Property</t>
  </si>
  <si>
    <t>Other Objects</t>
  </si>
  <si>
    <t>Total Expenditures</t>
  </si>
  <si>
    <t>TABOR Reserve</t>
  </si>
  <si>
    <t>Monthly Surplus/Deficit</t>
  </si>
  <si>
    <t>Revenue Check</t>
  </si>
  <si>
    <t>Expense Check</t>
  </si>
  <si>
    <t>Leman Academy of Excellence</t>
  </si>
  <si>
    <t>Office Manager</t>
  </si>
  <si>
    <t>After Care Staff</t>
  </si>
  <si>
    <t>Lunch Staff</t>
  </si>
  <si>
    <t>After Care Director</t>
  </si>
  <si>
    <t>Food Services Director</t>
  </si>
  <si>
    <t>School Nurse</t>
  </si>
  <si>
    <t>School Nurse Asst</t>
  </si>
  <si>
    <t>7th Grade Self Contained</t>
  </si>
  <si>
    <t>Music</t>
  </si>
  <si>
    <t>Art</t>
  </si>
  <si>
    <t>Latin</t>
  </si>
  <si>
    <t>Spanish</t>
  </si>
  <si>
    <t>Physical Education</t>
  </si>
  <si>
    <t>Tutors/stipends</t>
  </si>
  <si>
    <t>School support staff (3 @ $12/hr)</t>
  </si>
  <si>
    <t>Based on $8k per month for 10 months years one and two. Increase to $10k per month year 3.</t>
  </si>
  <si>
    <t>Rent based on Project cost of $18M at 9% lease rate for Phase I starting in Oct Year 1 with securing Phase 2 Financing mid-year 2</t>
  </si>
  <si>
    <t>Based on comparative research into other charter school expenses</t>
  </si>
  <si>
    <t>Oasis HR Services</t>
  </si>
  <si>
    <t>Audit Fees</t>
  </si>
  <si>
    <t>Accounting Fees</t>
  </si>
  <si>
    <t>IT Services</t>
  </si>
  <si>
    <t>Special Education Contracted Services</t>
  </si>
  <si>
    <t>$40k Psych, $20k Social worker, $35k Speech, $5k OT - Year 1 estimated based on enrollment</t>
  </si>
  <si>
    <t>Classroom- Janitorial- Athletic- Instructional</t>
  </si>
  <si>
    <t>Initial textbook purchase $150k in FFE on building cost; Years 2-5 are consumables</t>
  </si>
  <si>
    <t>License fees for all software (education and campus); inc accounting</t>
  </si>
  <si>
    <t>Initial IT network, security, staff laptops in FFE on building cost</t>
  </si>
  <si>
    <t>Initial Furniture Fixtures covered in FFE on building cost</t>
  </si>
  <si>
    <t>Colorado League of Charter Schools Membership  $7.29 per FTE; these dues support board training through the league as well</t>
  </si>
  <si>
    <t>full day program is $3,500 per child.  50% in year one, 3/5 preceeding years (3 of five sections)</t>
  </si>
  <si>
    <t>$200 per student, with an assumption of a 90% collection rate, which includes waivers for low-income students. Assumes full fee for full day K and $50 for half day K</t>
  </si>
  <si>
    <t>Based on 10% participation $5 per hour 2.5 hours day average for 180 days</t>
  </si>
  <si>
    <t>After school care assuming 10% participation</t>
  </si>
  <si>
    <t>Fee is 1.4% of gross wages plus time keeping system</t>
  </si>
  <si>
    <t>Director of Instruction</t>
  </si>
  <si>
    <t xml:space="preserve">7th Grade   </t>
  </si>
  <si>
    <t>8th Grade</t>
  </si>
  <si>
    <t>Intervention</t>
  </si>
  <si>
    <t>English Language Development (ELD)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</si>
</sst>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_(* #,##0_);_(* \(#,##0\);_(* &quot;-&quot;??_);_(@_)"/>
    <numFmt numFmtId="168" formatCode="&quot;$&quot;#,##0.00"/>
  </numFmts>
  <fonts count="35">
    <font>
      <sz val="11"/>
      <color rgb="FF000000"/>
      <name val="Calibri"/>
    </font>
    <font>
      <sz val="11"/>
      <color theme="1"/>
      <name val="Calibri"/>
      <family val="2"/>
      <scheme val="minor"/>
    </font>
    <font>
      <b/>
      <sz val="16"/>
      <color rgb="FF000000"/>
      <name val="Calibri"/>
    </font>
    <font>
      <sz val="11"/>
      <name val="Calibri"/>
    </font>
    <font>
      <b/>
      <sz val="11"/>
      <color rgb="FF000000"/>
      <name val="Calibri"/>
    </font>
    <font>
      <b/>
      <sz val="11"/>
      <name val="Calibri"/>
    </font>
    <font>
      <b/>
      <sz val="11"/>
      <color rgb="FFFF0000"/>
      <name val="Calibri"/>
    </font>
    <font>
      <sz val="11"/>
      <color rgb="FFFF0000"/>
      <name val="Calibri"/>
    </font>
    <font>
      <b/>
      <u/>
      <sz val="11"/>
      <color rgb="FF000000"/>
      <name val="Calibri"/>
    </font>
    <font>
      <i/>
      <sz val="11"/>
      <color rgb="FF000000"/>
      <name val="Calibri"/>
    </font>
    <font>
      <sz val="11"/>
      <name val="Calibri"/>
    </font>
    <font>
      <u/>
      <sz val="11"/>
      <color rgb="FF000000"/>
      <name val="Calibri"/>
    </font>
    <font>
      <b/>
      <sz val="14"/>
      <color rgb="FF000000"/>
      <name val="Calibri"/>
    </font>
    <font>
      <b/>
      <sz val="12"/>
      <color rgb="FF000000"/>
      <name val="Calibri"/>
    </font>
    <font>
      <b/>
      <i/>
      <sz val="11"/>
      <color rgb="FF000000"/>
      <name val="Calibri"/>
    </font>
    <font>
      <b/>
      <sz val="12"/>
      <name val="Calibri"/>
    </font>
    <font>
      <b/>
      <sz val="14"/>
      <name val="Calibri"/>
    </font>
    <font>
      <i/>
      <sz val="11"/>
      <name val="Calibri"/>
    </font>
    <font>
      <b/>
      <sz val="12"/>
      <color rgb="FFFF0000"/>
      <name val="Calibri"/>
    </font>
    <font>
      <i/>
      <sz val="11"/>
      <color rgb="FFFF0000"/>
      <name val="Calibri"/>
    </font>
    <font>
      <sz val="14"/>
      <color rgb="FF000000"/>
      <name val="Calibri"/>
    </font>
    <font>
      <b/>
      <u/>
      <sz val="11"/>
      <color rgb="FF000000"/>
      <name val="Calibri"/>
    </font>
    <font>
      <b/>
      <u/>
      <sz val="11"/>
      <color rgb="FF000000"/>
      <name val="Calibri"/>
    </font>
    <font>
      <b/>
      <u/>
      <sz val="11"/>
      <name val="Calibri"/>
    </font>
    <font>
      <b/>
      <u/>
      <sz val="11"/>
      <color rgb="FF000000"/>
      <name val="Calibri"/>
    </font>
    <font>
      <b/>
      <u/>
      <sz val="11"/>
      <name val="Calibri"/>
    </font>
    <font>
      <u/>
      <sz val="11"/>
      <color rgb="FF0000FF"/>
      <name val="Calibri"/>
    </font>
    <font>
      <sz val="11"/>
      <color rgb="FF000000"/>
      <name val="Noto Sans Symbols"/>
    </font>
    <font>
      <u/>
      <sz val="11"/>
      <color rgb="FF0000FF"/>
      <name val="Calibri"/>
    </font>
    <font>
      <sz val="7"/>
      <color rgb="FF000000"/>
      <name val="Times New Roman"/>
    </font>
    <font>
      <sz val="11"/>
      <color rgb="FF000000"/>
      <name val="Calibri"/>
    </font>
    <font>
      <b/>
      <sz val="9"/>
      <color indexed="81"/>
      <name val="Tahoma"/>
      <charset val="1"/>
    </font>
    <font>
      <sz val="9"/>
      <color indexed="81"/>
      <name val="Tahoma"/>
      <charset val="1"/>
    </font>
    <font>
      <i/>
      <sz val="11"/>
      <color rgb="FF000000"/>
      <name val="Calibri"/>
      <family val="2"/>
    </font>
    <font>
      <sz val="11"/>
      <color rgb="FF000000"/>
      <name val="Calibri"/>
      <family val="2"/>
    </font>
  </fonts>
  <fills count="11">
    <fill>
      <patternFill patternType="none"/>
    </fill>
    <fill>
      <patternFill patternType="gray125"/>
    </fill>
    <fill>
      <patternFill patternType="solid">
        <fgColor rgb="FFFBD4B4"/>
        <bgColor rgb="FFFBD4B4"/>
      </patternFill>
    </fill>
    <fill>
      <patternFill patternType="solid">
        <fgColor rgb="FFF2F2F2"/>
        <bgColor rgb="FFF2F2F2"/>
      </patternFill>
    </fill>
    <fill>
      <patternFill patternType="solid">
        <fgColor rgb="FFFFFF99"/>
        <bgColor rgb="FFFFFF99"/>
      </patternFill>
    </fill>
    <fill>
      <patternFill patternType="solid">
        <fgColor rgb="FF92D050"/>
        <bgColor rgb="FF92D050"/>
      </patternFill>
    </fill>
    <fill>
      <patternFill patternType="solid">
        <fgColor rgb="FFD8D8D8"/>
        <bgColor rgb="FFD8D8D8"/>
      </patternFill>
    </fill>
    <fill>
      <patternFill patternType="solid">
        <fgColor rgb="FFA5A5A5"/>
        <bgColor rgb="FFA5A5A5"/>
      </patternFill>
    </fill>
    <fill>
      <patternFill patternType="solid">
        <fgColor rgb="FFFFFFFF"/>
        <bgColor rgb="FFFFFFFF"/>
      </patternFill>
    </fill>
    <fill>
      <patternFill patternType="solid">
        <fgColor rgb="FFFFFF99"/>
        <bgColor indexed="64"/>
      </patternFill>
    </fill>
    <fill>
      <patternFill patternType="solid">
        <fgColor rgb="FF92D050"/>
        <bgColor indexed="64"/>
      </patternFill>
    </fill>
  </fills>
  <borders count="5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s>
  <cellStyleXfs count="2">
    <xf numFmtId="0" fontId="0" fillId="0" borderId="0"/>
    <xf numFmtId="44" fontId="30" fillId="0" borderId="0" applyFont="0" applyFill="0" applyBorder="0" applyAlignment="0" applyProtection="0"/>
  </cellStyleXfs>
  <cellXfs count="328">
    <xf numFmtId="0" fontId="0" fillId="0" borderId="0" xfId="0" applyFont="1" applyAlignment="1"/>
    <xf numFmtId="0" fontId="4" fillId="3" borderId="4" xfId="0" applyFont="1" applyFill="1" applyBorder="1"/>
    <xf numFmtId="0" fontId="4" fillId="3" borderId="5" xfId="0" applyFont="1" applyFill="1" applyBorder="1" applyAlignment="1">
      <alignment horizontal="right"/>
    </xf>
    <xf numFmtId="0" fontId="4" fillId="3" borderId="6" xfId="0" applyFont="1" applyFill="1" applyBorder="1" applyAlignment="1">
      <alignment horizontal="right"/>
    </xf>
    <xf numFmtId="0" fontId="0" fillId="0" borderId="0" xfId="0" applyFont="1"/>
    <xf numFmtId="0" fontId="0" fillId="0" borderId="10" xfId="0" applyFont="1" applyBorder="1"/>
    <xf numFmtId="164" fontId="0" fillId="0" borderId="0" xfId="0" applyNumberFormat="1" applyFont="1"/>
    <xf numFmtId="164" fontId="0" fillId="0" borderId="11" xfId="0" applyNumberFormat="1" applyFont="1" applyBorder="1"/>
    <xf numFmtId="0" fontId="4" fillId="0" borderId="0" xfId="0" applyFont="1" applyAlignment="1">
      <alignment wrapText="1"/>
    </xf>
    <xf numFmtId="0" fontId="0" fillId="0" borderId="16" xfId="0" applyFont="1" applyBorder="1"/>
    <xf numFmtId="0" fontId="6" fillId="0" borderId="0" xfId="0" applyFont="1"/>
    <xf numFmtId="0" fontId="7" fillId="0" borderId="0" xfId="0" applyFont="1"/>
    <xf numFmtId="0" fontId="0" fillId="0" borderId="17" xfId="0" applyFont="1" applyBorder="1"/>
    <xf numFmtId="164" fontId="0" fillId="0" borderId="18" xfId="0" applyNumberFormat="1" applyFont="1" applyBorder="1"/>
    <xf numFmtId="164" fontId="0" fillId="0" borderId="19" xfId="0" applyNumberFormat="1" applyFont="1" applyBorder="1"/>
    <xf numFmtId="164" fontId="0" fillId="0" borderId="20" xfId="0" applyNumberFormat="1" applyFont="1" applyBorder="1"/>
    <xf numFmtId="0" fontId="0" fillId="0" borderId="7" xfId="0" applyFont="1" applyBorder="1" applyAlignment="1">
      <alignment horizontal="right"/>
    </xf>
    <xf numFmtId="0" fontId="0" fillId="0" borderId="8" xfId="0" applyFont="1" applyBorder="1" applyAlignment="1">
      <alignment horizontal="right"/>
    </xf>
    <xf numFmtId="0" fontId="0" fillId="0" borderId="9" xfId="0" applyFont="1" applyBorder="1" applyAlignment="1">
      <alignment horizontal="right"/>
    </xf>
    <xf numFmtId="0" fontId="0" fillId="0" borderId="18" xfId="0" applyFont="1" applyBorder="1" applyAlignment="1">
      <alignment horizontal="right"/>
    </xf>
    <xf numFmtId="0" fontId="0" fillId="0" borderId="19" xfId="0" applyFont="1" applyBorder="1" applyAlignment="1">
      <alignment horizontal="right"/>
    </xf>
    <xf numFmtId="0" fontId="0" fillId="0" borderId="20" xfId="0" applyFont="1" applyBorder="1" applyAlignment="1">
      <alignment horizontal="right"/>
    </xf>
    <xf numFmtId="0" fontId="8" fillId="0" borderId="0" xfId="0" applyFont="1"/>
    <xf numFmtId="0" fontId="4" fillId="0" borderId="0" xfId="0" applyFont="1"/>
    <xf numFmtId="0" fontId="4" fillId="3" borderId="6" xfId="0" applyFont="1" applyFill="1" applyBorder="1"/>
    <xf numFmtId="0" fontId="4" fillId="3" borderId="24" xfId="0" applyFont="1" applyFill="1" applyBorder="1"/>
    <xf numFmtId="0" fontId="4" fillId="3" borderId="25" xfId="0" applyFont="1" applyFill="1" applyBorder="1"/>
    <xf numFmtId="0" fontId="4" fillId="3" borderId="26" xfId="0" applyFont="1" applyFill="1" applyBorder="1"/>
    <xf numFmtId="0" fontId="0" fillId="5" borderId="27" xfId="0" applyFont="1" applyFill="1" applyBorder="1"/>
    <xf numFmtId="0" fontId="0" fillId="5" borderId="28" xfId="0" applyFont="1" applyFill="1" applyBorder="1"/>
    <xf numFmtId="0" fontId="0" fillId="4" borderId="29" xfId="0" applyFont="1" applyFill="1" applyBorder="1"/>
    <xf numFmtId="0" fontId="0" fillId="6" borderId="28" xfId="0" applyFont="1" applyFill="1" applyBorder="1"/>
    <xf numFmtId="165" fontId="0" fillId="4" borderId="28" xfId="0" applyNumberFormat="1" applyFont="1" applyFill="1" applyBorder="1"/>
    <xf numFmtId="165" fontId="0" fillId="0" borderId="11" xfId="0" applyNumberFormat="1" applyFont="1" applyBorder="1"/>
    <xf numFmtId="165" fontId="0" fillId="5" borderId="28" xfId="0" applyNumberFormat="1" applyFont="1" applyFill="1" applyBorder="1"/>
    <xf numFmtId="0" fontId="9" fillId="5" borderId="27" xfId="0" applyFont="1" applyFill="1" applyBorder="1"/>
    <xf numFmtId="0" fontId="9" fillId="5" borderId="26" xfId="0" applyFont="1" applyFill="1" applyBorder="1"/>
    <xf numFmtId="0" fontId="0" fillId="5" borderId="25" xfId="0" applyFont="1" applyFill="1" applyBorder="1"/>
    <xf numFmtId="0" fontId="0" fillId="4" borderId="24" xfId="0" applyFont="1" applyFill="1" applyBorder="1"/>
    <xf numFmtId="165" fontId="0" fillId="4" borderId="25" xfId="0" applyNumberFormat="1" applyFont="1" applyFill="1" applyBorder="1"/>
    <xf numFmtId="0" fontId="0" fillId="0" borderId="32" xfId="0" applyFont="1" applyBorder="1"/>
    <xf numFmtId="165" fontId="0" fillId="0" borderId="32" xfId="0" applyNumberFormat="1" applyFont="1" applyBorder="1"/>
    <xf numFmtId="165" fontId="0" fillId="0" borderId="33" xfId="0" applyNumberFormat="1" applyFont="1" applyBorder="1"/>
    <xf numFmtId="0" fontId="0" fillId="0" borderId="9" xfId="0" applyFont="1" applyBorder="1"/>
    <xf numFmtId="0" fontId="0" fillId="6" borderId="29" xfId="0" applyFont="1" applyFill="1" applyBorder="1"/>
    <xf numFmtId="44" fontId="0" fillId="6" borderId="28" xfId="0" applyNumberFormat="1" applyFont="1" applyFill="1" applyBorder="1"/>
    <xf numFmtId="44" fontId="0" fillId="0" borderId="11" xfId="0" applyNumberFormat="1" applyFont="1" applyBorder="1"/>
    <xf numFmtId="0" fontId="0" fillId="4" borderId="28" xfId="0" applyFont="1" applyFill="1" applyBorder="1"/>
    <xf numFmtId="0" fontId="0" fillId="0" borderId="11" xfId="0" applyFont="1" applyBorder="1"/>
    <xf numFmtId="0" fontId="10" fillId="4" borderId="28" xfId="0" applyFont="1" applyFill="1" applyBorder="1"/>
    <xf numFmtId="0" fontId="0" fillId="5" borderId="26" xfId="0" applyFont="1" applyFill="1" applyBorder="1"/>
    <xf numFmtId="0" fontId="0" fillId="6" borderId="24" xfId="0" applyFont="1" applyFill="1" applyBorder="1"/>
    <xf numFmtId="0" fontId="0" fillId="6" borderId="25" xfId="0" applyFont="1" applyFill="1" applyBorder="1"/>
    <xf numFmtId="44" fontId="0" fillId="6" borderId="25" xfId="0" applyNumberFormat="1" applyFont="1" applyFill="1" applyBorder="1"/>
    <xf numFmtId="44" fontId="0" fillId="0" borderId="32" xfId="0" applyNumberFormat="1" applyFont="1" applyBorder="1"/>
    <xf numFmtId="44" fontId="0" fillId="0" borderId="33" xfId="0" applyNumberFormat="1" applyFont="1" applyBorder="1"/>
    <xf numFmtId="0" fontId="0" fillId="0" borderId="34" xfId="0" applyFont="1" applyBorder="1"/>
    <xf numFmtId="165" fontId="0" fillId="0" borderId="34" xfId="0" applyNumberFormat="1" applyFont="1" applyBorder="1"/>
    <xf numFmtId="165" fontId="0" fillId="0" borderId="35" xfId="0" applyNumberFormat="1" applyFont="1" applyBorder="1"/>
    <xf numFmtId="0" fontId="4" fillId="0" borderId="4" xfId="0" applyFont="1" applyBorder="1"/>
    <xf numFmtId="9" fontId="4" fillId="4" borderId="4" xfId="0" applyNumberFormat="1" applyFont="1" applyFill="1" applyBorder="1"/>
    <xf numFmtId="9" fontId="4" fillId="3" borderId="4" xfId="0" applyNumberFormat="1" applyFont="1" applyFill="1" applyBorder="1"/>
    <xf numFmtId="43" fontId="5" fillId="0" borderId="19" xfId="0" applyNumberFormat="1" applyFont="1" applyBorder="1" applyAlignment="1">
      <alignment horizontal="right"/>
    </xf>
    <xf numFmtId="0" fontId="9" fillId="0" borderId="0" xfId="0" applyFont="1"/>
    <xf numFmtId="43" fontId="10" fillId="0" borderId="0" xfId="0" applyNumberFormat="1" applyFont="1" applyAlignment="1">
      <alignment horizontal="right"/>
    </xf>
    <xf numFmtId="0" fontId="0" fillId="0" borderId="0" xfId="0" applyFont="1" applyAlignment="1">
      <alignment horizontal="left"/>
    </xf>
    <xf numFmtId="0" fontId="11" fillId="0" borderId="0" xfId="0" applyFont="1" applyAlignment="1">
      <alignment horizontal="left"/>
    </xf>
    <xf numFmtId="0" fontId="0" fillId="0" borderId="0" xfId="0" applyFont="1" applyAlignment="1">
      <alignment wrapText="1"/>
    </xf>
    <xf numFmtId="0" fontId="0" fillId="0" borderId="0" xfId="0" applyFont="1" applyAlignment="1">
      <alignment horizontal="left" wrapText="1"/>
    </xf>
    <xf numFmtId="0" fontId="10" fillId="0" borderId="0" xfId="0" applyFont="1" applyAlignment="1">
      <alignment horizontal="right" wrapText="1"/>
    </xf>
    <xf numFmtId="8" fontId="10" fillId="0" borderId="0" xfId="0" applyNumberFormat="1" applyFont="1" applyAlignment="1">
      <alignment horizontal="right"/>
    </xf>
    <xf numFmtId="6" fontId="10" fillId="0" borderId="0" xfId="0" applyNumberFormat="1" applyFont="1" applyAlignment="1">
      <alignment horizontal="right"/>
    </xf>
    <xf numFmtId="43" fontId="10" fillId="0" borderId="0" xfId="0" applyNumberFormat="1" applyFont="1" applyAlignment="1">
      <alignment horizontal="right" wrapText="1"/>
    </xf>
    <xf numFmtId="166" fontId="10" fillId="0" borderId="0" xfId="0" applyNumberFormat="1" applyFont="1" applyAlignment="1">
      <alignment horizontal="right" wrapText="1"/>
    </xf>
    <xf numFmtId="167" fontId="10" fillId="0" borderId="0" xfId="0" applyNumberFormat="1" applyFont="1" applyAlignment="1">
      <alignment horizontal="right" wrapText="1"/>
    </xf>
    <xf numFmtId="41" fontId="10" fillId="0" borderId="0" xfId="0" applyNumberFormat="1" applyFont="1" applyAlignment="1">
      <alignment horizontal="right"/>
    </xf>
    <xf numFmtId="167" fontId="0" fillId="0" borderId="0" xfId="0" applyNumberFormat="1" applyFont="1"/>
    <xf numFmtId="41" fontId="10" fillId="0" borderId="0" xfId="0" applyNumberFormat="1" applyFont="1" applyAlignment="1">
      <alignment horizontal="left"/>
    </xf>
    <xf numFmtId="43" fontId="0" fillId="0" borderId="0" xfId="0" applyNumberFormat="1" applyFont="1"/>
    <xf numFmtId="168" fontId="10" fillId="0" borderId="0" xfId="0" applyNumberFormat="1" applyFont="1" applyAlignment="1">
      <alignment horizontal="right"/>
    </xf>
    <xf numFmtId="0" fontId="12" fillId="0" borderId="0" xfId="0" applyFont="1"/>
    <xf numFmtId="0" fontId="14" fillId="0" borderId="0" xfId="0" applyFont="1" applyAlignment="1">
      <alignment horizontal="right"/>
    </xf>
    <xf numFmtId="40" fontId="14" fillId="0" borderId="0" xfId="0" applyNumberFormat="1" applyFont="1"/>
    <xf numFmtId="0" fontId="15" fillId="0" borderId="37" xfId="0" applyFont="1" applyBorder="1" applyAlignment="1">
      <alignment wrapText="1"/>
    </xf>
    <xf numFmtId="0" fontId="15" fillId="0" borderId="37" xfId="0" applyFont="1" applyBorder="1" applyAlignment="1">
      <alignment horizontal="center" wrapText="1"/>
    </xf>
    <xf numFmtId="0" fontId="5" fillId="0" borderId="0" xfId="0" applyFont="1" applyAlignment="1">
      <alignment horizontal="left"/>
    </xf>
    <xf numFmtId="3" fontId="5" fillId="0" borderId="0" xfId="0" applyNumberFormat="1" applyFont="1"/>
    <xf numFmtId="0" fontId="10" fillId="0" borderId="0" xfId="0" applyFont="1" applyAlignment="1">
      <alignment horizontal="left"/>
    </xf>
    <xf numFmtId="167" fontId="10" fillId="0" borderId="0" xfId="0" applyNumberFormat="1" applyFont="1"/>
    <xf numFmtId="167" fontId="10" fillId="0" borderId="19" xfId="0" applyNumberFormat="1" applyFont="1" applyBorder="1"/>
    <xf numFmtId="167" fontId="5" fillId="0" borderId="0" xfId="0" applyNumberFormat="1" applyFont="1"/>
    <xf numFmtId="0" fontId="15" fillId="0" borderId="30" xfId="0" applyFont="1" applyBorder="1" applyAlignment="1">
      <alignment horizontal="left"/>
    </xf>
    <xf numFmtId="167" fontId="5" fillId="0" borderId="30" xfId="0" applyNumberFormat="1" applyFont="1" applyBorder="1"/>
    <xf numFmtId="44" fontId="0" fillId="0" borderId="0" xfId="0" applyNumberFormat="1" applyFont="1"/>
    <xf numFmtId="0" fontId="16" fillId="3" borderId="38" xfId="0" applyFont="1" applyFill="1" applyBorder="1"/>
    <xf numFmtId="167" fontId="5" fillId="3" borderId="39" xfId="0" applyNumberFormat="1" applyFont="1" applyFill="1" applyBorder="1"/>
    <xf numFmtId="42" fontId="0" fillId="0" borderId="0" xfId="0" applyNumberFormat="1" applyFont="1"/>
    <xf numFmtId="10" fontId="0" fillId="0" borderId="0" xfId="0" applyNumberFormat="1" applyFont="1"/>
    <xf numFmtId="167" fontId="5" fillId="0" borderId="19" xfId="0" applyNumberFormat="1" applyFont="1" applyBorder="1"/>
    <xf numFmtId="0" fontId="10" fillId="0" borderId="0" xfId="0" applyFont="1" applyAlignment="1">
      <alignment horizontal="left" wrapText="1"/>
    </xf>
    <xf numFmtId="0" fontId="13" fillId="0" borderId="30" xfId="0" applyFont="1" applyBorder="1"/>
    <xf numFmtId="167" fontId="5" fillId="4" borderId="4" xfId="0" applyNumberFormat="1" applyFont="1" applyFill="1" applyBorder="1"/>
    <xf numFmtId="0" fontId="15" fillId="0" borderId="0" xfId="0" applyFont="1" applyAlignment="1">
      <alignment horizontal="left"/>
    </xf>
    <xf numFmtId="0" fontId="17" fillId="0" borderId="0" xfId="0" applyFont="1" applyAlignment="1">
      <alignment horizontal="left" wrapText="1"/>
    </xf>
    <xf numFmtId="0" fontId="17" fillId="0" borderId="0" xfId="0" applyFont="1" applyAlignment="1">
      <alignment horizontal="left"/>
    </xf>
    <xf numFmtId="0" fontId="10" fillId="0" borderId="0" xfId="0" applyFont="1"/>
    <xf numFmtId="0" fontId="5" fillId="0" borderId="0" xfId="0" applyFont="1"/>
    <xf numFmtId="41" fontId="0" fillId="0" borderId="0" xfId="0" applyNumberFormat="1" applyFont="1"/>
    <xf numFmtId="0" fontId="13" fillId="0" borderId="0" xfId="0" applyFont="1"/>
    <xf numFmtId="0" fontId="18" fillId="0" borderId="0" xfId="0" applyFont="1" applyAlignment="1">
      <alignment horizontal="left"/>
    </xf>
    <xf numFmtId="167" fontId="6" fillId="0" borderId="0" xfId="0" applyNumberFormat="1" applyFont="1"/>
    <xf numFmtId="0" fontId="19" fillId="0" borderId="0" xfId="0" applyFont="1" applyAlignment="1">
      <alignment horizontal="left"/>
    </xf>
    <xf numFmtId="167" fontId="7" fillId="0" borderId="0" xfId="0" applyNumberFormat="1" applyFont="1"/>
    <xf numFmtId="0" fontId="4" fillId="4" borderId="28" xfId="0" applyFont="1" applyFill="1" applyBorder="1" applyAlignment="1">
      <alignment wrapText="1"/>
    </xf>
    <xf numFmtId="0" fontId="12" fillId="6" borderId="41" xfId="0" applyFont="1" applyFill="1" applyBorder="1" applyAlignment="1">
      <alignment horizontal="center"/>
    </xf>
    <xf numFmtId="0" fontId="12" fillId="6" borderId="42" xfId="0" applyFont="1" applyFill="1" applyBorder="1" applyAlignment="1">
      <alignment horizontal="center"/>
    </xf>
    <xf numFmtId="0" fontId="12" fillId="6" borderId="43" xfId="0" applyFont="1" applyFill="1" applyBorder="1" applyAlignment="1">
      <alignment horizontal="center"/>
    </xf>
    <xf numFmtId="0" fontId="12" fillId="6" borderId="44" xfId="0" applyFont="1" applyFill="1" applyBorder="1" applyAlignment="1">
      <alignment horizontal="center" wrapText="1"/>
    </xf>
    <xf numFmtId="0" fontId="12" fillId="0" borderId="0" xfId="0" applyFont="1" applyAlignment="1">
      <alignment horizontal="left" wrapText="1"/>
    </xf>
    <xf numFmtId="0" fontId="20" fillId="0" borderId="0" xfId="0" applyFont="1"/>
    <xf numFmtId="0" fontId="10" fillId="0" borderId="45" xfId="0" applyFont="1" applyBorder="1" applyAlignment="1">
      <alignment horizontal="right"/>
    </xf>
    <xf numFmtId="40" fontId="0" fillId="6" borderId="46" xfId="0" applyNumberFormat="1" applyFont="1" applyFill="1" applyBorder="1"/>
    <xf numFmtId="40" fontId="0" fillId="4" borderId="47" xfId="0" applyNumberFormat="1" applyFont="1" applyFill="1" applyBorder="1"/>
    <xf numFmtId="40" fontId="0" fillId="4" borderId="48" xfId="0" applyNumberFormat="1" applyFont="1" applyFill="1" applyBorder="1"/>
    <xf numFmtId="40" fontId="0" fillId="4" borderId="49" xfId="0" applyNumberFormat="1" applyFont="1" applyFill="1" applyBorder="1"/>
    <xf numFmtId="0" fontId="0" fillId="4" borderId="50" xfId="0" applyFont="1" applyFill="1" applyBorder="1" applyAlignment="1">
      <alignment wrapText="1"/>
    </xf>
    <xf numFmtId="40" fontId="0" fillId="6" borderId="51" xfId="0" applyNumberFormat="1" applyFont="1" applyFill="1" applyBorder="1"/>
    <xf numFmtId="40" fontId="0" fillId="0" borderId="12" xfId="0" applyNumberFormat="1" applyFont="1" applyBorder="1"/>
    <xf numFmtId="40" fontId="0" fillId="0" borderId="0" xfId="0" applyNumberFormat="1" applyFont="1"/>
    <xf numFmtId="40" fontId="0" fillId="0" borderId="11" xfId="0" applyNumberFormat="1" applyFont="1" applyBorder="1"/>
    <xf numFmtId="0" fontId="10" fillId="0" borderId="52" xfId="0" applyFont="1" applyBorder="1" applyAlignment="1">
      <alignment horizontal="right"/>
    </xf>
    <xf numFmtId="0" fontId="0" fillId="4" borderId="53" xfId="0" applyFont="1" applyFill="1" applyBorder="1" applyAlignment="1">
      <alignment wrapText="1"/>
    </xf>
    <xf numFmtId="40" fontId="10" fillId="4" borderId="29" xfId="0" applyNumberFormat="1" applyFont="1" applyFill="1" applyBorder="1"/>
    <xf numFmtId="40" fontId="10" fillId="4" borderId="28" xfId="0" applyNumberFormat="1" applyFont="1" applyFill="1" applyBorder="1"/>
    <xf numFmtId="40" fontId="10" fillId="4" borderId="27" xfId="0" applyNumberFormat="1" applyFont="1" applyFill="1" applyBorder="1"/>
    <xf numFmtId="0" fontId="10" fillId="7" borderId="45" xfId="0" applyFont="1" applyFill="1" applyBorder="1" applyAlignment="1">
      <alignment horizontal="right"/>
    </xf>
    <xf numFmtId="40" fontId="0" fillId="7" borderId="29" xfId="0" applyNumberFormat="1" applyFont="1" applyFill="1" applyBorder="1"/>
    <xf numFmtId="40" fontId="0" fillId="7" borderId="28" xfId="0" applyNumberFormat="1" applyFont="1" applyFill="1" applyBorder="1"/>
    <xf numFmtId="40" fontId="0" fillId="7" borderId="27" xfId="0" applyNumberFormat="1" applyFont="1" applyFill="1" applyBorder="1"/>
    <xf numFmtId="10" fontId="0" fillId="6" borderId="51" xfId="0" applyNumberFormat="1" applyFont="1" applyFill="1" applyBorder="1"/>
    <xf numFmtId="10" fontId="0" fillId="4" borderId="29" xfId="0" applyNumberFormat="1" applyFont="1" applyFill="1" applyBorder="1"/>
    <xf numFmtId="10" fontId="0" fillId="4" borderId="28" xfId="0" applyNumberFormat="1" applyFont="1" applyFill="1" applyBorder="1"/>
    <xf numFmtId="10" fontId="0" fillId="4" borderId="27" xfId="0" applyNumberFormat="1" applyFont="1" applyFill="1" applyBorder="1"/>
    <xf numFmtId="10" fontId="0" fillId="6" borderId="54" xfId="0" applyNumberFormat="1" applyFont="1" applyFill="1" applyBorder="1"/>
    <xf numFmtId="10" fontId="0" fillId="4" borderId="24" xfId="0" applyNumberFormat="1" applyFont="1" applyFill="1" applyBorder="1"/>
    <xf numFmtId="10" fontId="0" fillId="4" borderId="25" xfId="0" applyNumberFormat="1" applyFont="1" applyFill="1" applyBorder="1"/>
    <xf numFmtId="10" fontId="0" fillId="4" borderId="26" xfId="0" applyNumberFormat="1" applyFont="1" applyFill="1" applyBorder="1"/>
    <xf numFmtId="0" fontId="10" fillId="0" borderId="0" xfId="0" applyFont="1" applyAlignment="1">
      <alignment horizontal="right"/>
    </xf>
    <xf numFmtId="0" fontId="0" fillId="0" borderId="7" xfId="0" applyFont="1" applyBorder="1"/>
    <xf numFmtId="42" fontId="0" fillId="6" borderId="48" xfId="0" applyNumberFormat="1" applyFont="1" applyFill="1" applyBorder="1"/>
    <xf numFmtId="42" fontId="0" fillId="4" borderId="48" xfId="0" applyNumberFormat="1" applyFont="1" applyFill="1" applyBorder="1"/>
    <xf numFmtId="42" fontId="0" fillId="5" borderId="48" xfId="0" applyNumberFormat="1" applyFont="1" applyFill="1" applyBorder="1"/>
    <xf numFmtId="165" fontId="0" fillId="6" borderId="46" xfId="0" applyNumberFormat="1" applyFont="1" applyFill="1" applyBorder="1"/>
    <xf numFmtId="0" fontId="0" fillId="4" borderId="4" xfId="0" applyFont="1" applyFill="1" applyBorder="1"/>
    <xf numFmtId="0" fontId="0" fillId="0" borderId="12" xfId="0" applyFont="1" applyBorder="1"/>
    <xf numFmtId="42" fontId="0" fillId="6" borderId="28" xfId="0" applyNumberFormat="1" applyFont="1" applyFill="1" applyBorder="1"/>
    <xf numFmtId="42" fontId="0" fillId="4" borderId="28" xfId="0" applyNumberFormat="1" applyFont="1" applyFill="1" applyBorder="1"/>
    <xf numFmtId="42" fontId="0" fillId="5" borderId="28" xfId="0" applyNumberFormat="1" applyFont="1" applyFill="1" applyBorder="1"/>
    <xf numFmtId="165" fontId="0" fillId="6" borderId="51" xfId="0" applyNumberFormat="1" applyFont="1" applyFill="1" applyBorder="1"/>
    <xf numFmtId="0" fontId="0" fillId="0" borderId="18" xfId="0" applyFont="1" applyBorder="1"/>
    <xf numFmtId="42" fontId="0" fillId="4" borderId="25" xfId="0" applyNumberFormat="1" applyFont="1" applyFill="1" applyBorder="1"/>
    <xf numFmtId="165" fontId="0" fillId="6" borderId="54" xfId="0" applyNumberFormat="1" applyFont="1" applyFill="1" applyBorder="1"/>
    <xf numFmtId="0" fontId="10" fillId="0" borderId="11" xfId="0" applyFont="1" applyBorder="1" applyAlignment="1">
      <alignment horizontal="right"/>
    </xf>
    <xf numFmtId="44" fontId="0" fillId="0" borderId="12" xfId="0" applyNumberFormat="1" applyFont="1" applyBorder="1"/>
    <xf numFmtId="165" fontId="0" fillId="6" borderId="47" xfId="0" applyNumberFormat="1" applyFont="1" applyFill="1" applyBorder="1"/>
    <xf numFmtId="42" fontId="0" fillId="0" borderId="8" xfId="0" applyNumberFormat="1" applyFont="1" applyBorder="1"/>
    <xf numFmtId="42" fontId="0" fillId="0" borderId="9" xfId="0" applyNumberFormat="1" applyFont="1" applyBorder="1"/>
    <xf numFmtId="165" fontId="0" fillId="6" borderId="49" xfId="0" applyNumberFormat="1" applyFont="1" applyFill="1" applyBorder="1"/>
    <xf numFmtId="165" fontId="0" fillId="6" borderId="29" xfId="0" applyNumberFormat="1" applyFont="1" applyFill="1" applyBorder="1"/>
    <xf numFmtId="42" fontId="0" fillId="0" borderId="11" xfId="0" applyNumberFormat="1" applyFont="1" applyBorder="1"/>
    <xf numFmtId="165" fontId="0" fillId="6" borderId="27" xfId="0" applyNumberFormat="1" applyFont="1" applyFill="1" applyBorder="1"/>
    <xf numFmtId="165" fontId="0" fillId="6" borderId="24" xfId="0" applyNumberFormat="1" applyFont="1" applyFill="1" applyBorder="1"/>
    <xf numFmtId="41" fontId="0" fillId="5" borderId="25" xfId="0" applyNumberFormat="1" applyFont="1" applyFill="1" applyBorder="1"/>
    <xf numFmtId="41" fontId="0" fillId="5" borderId="26" xfId="0" applyNumberFormat="1" applyFont="1" applyFill="1" applyBorder="1"/>
    <xf numFmtId="43" fontId="0" fillId="6" borderId="26" xfId="0" applyNumberFormat="1" applyFont="1" applyFill="1" applyBorder="1"/>
    <xf numFmtId="0" fontId="0" fillId="0" borderId="30" xfId="0" applyFont="1" applyBorder="1"/>
    <xf numFmtId="42" fontId="0" fillId="0" borderId="7" xfId="0" applyNumberFormat="1" applyFont="1" applyBorder="1"/>
    <xf numFmtId="42" fontId="0" fillId="0" borderId="12" xfId="0" applyNumberFormat="1" applyFont="1" applyBorder="1"/>
    <xf numFmtId="41" fontId="0" fillId="5" borderId="24" xfId="0" applyNumberFormat="1" applyFont="1" applyFill="1" applyBorder="1"/>
    <xf numFmtId="44" fontId="0" fillId="6" borderId="47" xfId="0" applyNumberFormat="1" applyFont="1" applyFill="1" applyBorder="1"/>
    <xf numFmtId="42" fontId="0" fillId="4" borderId="49" xfId="0" applyNumberFormat="1" applyFont="1" applyFill="1" applyBorder="1"/>
    <xf numFmtId="44" fontId="0" fillId="6" borderId="49" xfId="0" applyNumberFormat="1" applyFont="1" applyFill="1" applyBorder="1"/>
    <xf numFmtId="42" fontId="0" fillId="4" borderId="27" xfId="0" applyNumberFormat="1" applyFont="1" applyFill="1" applyBorder="1"/>
    <xf numFmtId="44" fontId="0" fillId="6" borderId="27" xfId="0" applyNumberFormat="1" applyFont="1" applyFill="1" applyBorder="1"/>
    <xf numFmtId="41" fontId="0" fillId="4" borderId="28" xfId="0" applyNumberFormat="1" applyFont="1" applyFill="1" applyBorder="1"/>
    <xf numFmtId="41" fontId="0" fillId="4" borderId="27" xfId="0" applyNumberFormat="1" applyFont="1" applyFill="1" applyBorder="1"/>
    <xf numFmtId="43" fontId="0" fillId="6" borderId="27" xfId="0" applyNumberFormat="1" applyFont="1" applyFill="1" applyBorder="1"/>
    <xf numFmtId="41" fontId="0" fillId="5" borderId="28" xfId="0" applyNumberFormat="1" applyFont="1" applyFill="1" applyBorder="1"/>
    <xf numFmtId="44" fontId="0" fillId="6" borderId="24" xfId="0" applyNumberFormat="1" applyFont="1" applyFill="1" applyBorder="1"/>
    <xf numFmtId="42" fontId="0" fillId="4" borderId="26" xfId="0" applyNumberFormat="1" applyFont="1" applyFill="1" applyBorder="1"/>
    <xf numFmtId="165" fontId="0" fillId="6" borderId="26" xfId="0" applyNumberFormat="1" applyFont="1" applyFill="1" applyBorder="1"/>
    <xf numFmtId="0" fontId="22" fillId="3" borderId="4" xfId="0" applyFont="1" applyFill="1" applyBorder="1"/>
    <xf numFmtId="0" fontId="10" fillId="0" borderId="10" xfId="0" applyFont="1" applyBorder="1"/>
    <xf numFmtId="10" fontId="10" fillId="0" borderId="8" xfId="0" applyNumberFormat="1" applyFont="1" applyBorder="1"/>
    <xf numFmtId="10" fontId="10" fillId="0" borderId="9" xfId="0" applyNumberFormat="1" applyFont="1" applyBorder="1"/>
    <xf numFmtId="10" fontId="0" fillId="6" borderId="49" xfId="0" applyNumberFormat="1" applyFont="1" applyFill="1" applyBorder="1"/>
    <xf numFmtId="0" fontId="10" fillId="0" borderId="0" xfId="0" applyFont="1" applyAlignment="1">
      <alignment wrapText="1"/>
    </xf>
    <xf numFmtId="0" fontId="10" fillId="0" borderId="16" xfId="0" applyFont="1" applyBorder="1"/>
    <xf numFmtId="10" fontId="0" fillId="0" borderId="12" xfId="0" applyNumberFormat="1" applyFont="1" applyBorder="1"/>
    <xf numFmtId="10" fontId="0" fillId="0" borderId="11" xfId="0" applyNumberFormat="1" applyFont="1" applyBorder="1"/>
    <xf numFmtId="10" fontId="0" fillId="6" borderId="27" xfId="0" applyNumberFormat="1" applyFont="1" applyFill="1" applyBorder="1"/>
    <xf numFmtId="42" fontId="0" fillId="4" borderId="29" xfId="0" applyNumberFormat="1" applyFont="1" applyFill="1" applyBorder="1"/>
    <xf numFmtId="42" fontId="0" fillId="4" borderId="24" xfId="0" applyNumberFormat="1" applyFont="1" applyFill="1" applyBorder="1"/>
    <xf numFmtId="42" fontId="10" fillId="0" borderId="0" xfId="0" applyNumberFormat="1" applyFont="1"/>
    <xf numFmtId="0" fontId="0" fillId="0" borderId="12" xfId="0" applyFont="1" applyBorder="1" applyAlignment="1">
      <alignment wrapText="1"/>
    </xf>
    <xf numFmtId="43" fontId="10" fillId="0" borderId="0" xfId="0" applyNumberFormat="1" applyFont="1" applyAlignment="1">
      <alignment horizontal="left" wrapText="1"/>
    </xf>
    <xf numFmtId="44" fontId="0" fillId="6" borderId="51" xfId="0" applyNumberFormat="1" applyFont="1" applyFill="1" applyBorder="1"/>
    <xf numFmtId="42" fontId="7" fillId="6" borderId="28" xfId="0" applyNumberFormat="1" applyFont="1" applyFill="1" applyBorder="1"/>
    <xf numFmtId="43" fontId="10" fillId="0" borderId="0" xfId="0" applyNumberFormat="1" applyFont="1" applyAlignment="1">
      <alignment wrapText="1"/>
    </xf>
    <xf numFmtId="0" fontId="10" fillId="0" borderId="18" xfId="0" applyFont="1" applyBorder="1"/>
    <xf numFmtId="42" fontId="0" fillId="6" borderId="25" xfId="0" applyNumberFormat="1" applyFont="1" applyFill="1" applyBorder="1"/>
    <xf numFmtId="42" fontId="10" fillId="0" borderId="19" xfId="0" applyNumberFormat="1" applyFont="1" applyBorder="1"/>
    <xf numFmtId="44" fontId="0" fillId="0" borderId="30" xfId="0" applyNumberFormat="1" applyFont="1" applyBorder="1"/>
    <xf numFmtId="0" fontId="0" fillId="0" borderId="31" xfId="0" applyFont="1" applyBorder="1"/>
    <xf numFmtId="42" fontId="10" fillId="4" borderId="48" xfId="0" applyNumberFormat="1" applyFont="1" applyFill="1" applyBorder="1"/>
    <xf numFmtId="44" fontId="0" fillId="4" borderId="46" xfId="0" applyNumberFormat="1" applyFont="1" applyFill="1" applyBorder="1"/>
    <xf numFmtId="42" fontId="10" fillId="4" borderId="28" xfId="0" applyNumberFormat="1" applyFont="1" applyFill="1" applyBorder="1"/>
    <xf numFmtId="44" fontId="0" fillId="4" borderId="51" xfId="0" applyNumberFormat="1" applyFont="1" applyFill="1" applyBorder="1"/>
    <xf numFmtId="42" fontId="10" fillId="0" borderId="20" xfId="0" applyNumberFormat="1" applyFont="1" applyBorder="1"/>
    <xf numFmtId="44" fontId="0" fillId="4" borderId="54" xfId="0" applyNumberFormat="1" applyFont="1" applyFill="1" applyBorder="1"/>
    <xf numFmtId="10" fontId="0" fillId="0" borderId="30" xfId="0" applyNumberFormat="1" applyFont="1" applyBorder="1"/>
    <xf numFmtId="42" fontId="10" fillId="4" borderId="25" xfId="0" applyNumberFormat="1" applyFont="1" applyFill="1" applyBorder="1"/>
    <xf numFmtId="42" fontId="10" fillId="0" borderId="8" xfId="0" applyNumberFormat="1" applyFont="1" applyBorder="1"/>
    <xf numFmtId="6" fontId="0" fillId="0" borderId="0" xfId="0" applyNumberFormat="1" applyFont="1" applyAlignment="1">
      <alignment wrapText="1"/>
    </xf>
    <xf numFmtId="42" fontId="7" fillId="0" borderId="0" xfId="0" applyNumberFormat="1" applyFont="1"/>
    <xf numFmtId="42" fontId="7" fillId="0" borderId="19" xfId="0" applyNumberFormat="1" applyFont="1" applyBorder="1"/>
    <xf numFmtId="44" fontId="0" fillId="0" borderId="19" xfId="0" applyNumberFormat="1" applyFont="1" applyBorder="1"/>
    <xf numFmtId="0" fontId="7" fillId="0" borderId="0" xfId="0" applyFont="1" applyAlignment="1">
      <alignment wrapText="1"/>
    </xf>
    <xf numFmtId="0" fontId="0" fillId="0" borderId="7" xfId="0" applyFont="1" applyBorder="1" applyAlignment="1">
      <alignment wrapText="1"/>
    </xf>
    <xf numFmtId="42" fontId="10" fillId="0" borderId="9" xfId="0" applyNumberFormat="1" applyFont="1" applyBorder="1"/>
    <xf numFmtId="42" fontId="10" fillId="4" borderId="27" xfId="0" applyNumberFormat="1" applyFont="1" applyFill="1" applyBorder="1"/>
    <xf numFmtId="6" fontId="10" fillId="0" borderId="0" xfId="0" applyNumberFormat="1" applyFont="1" applyAlignment="1">
      <alignment wrapText="1"/>
    </xf>
    <xf numFmtId="0" fontId="0" fillId="0" borderId="19" xfId="0" applyFont="1" applyBorder="1" applyAlignment="1">
      <alignment horizontal="left"/>
    </xf>
    <xf numFmtId="42" fontId="10" fillId="4" borderId="26" xfId="0" applyNumberFormat="1" applyFont="1" applyFill="1" applyBorder="1"/>
    <xf numFmtId="44" fontId="0" fillId="4" borderId="27" xfId="0" applyNumberFormat="1" applyFont="1" applyFill="1" applyBorder="1"/>
    <xf numFmtId="0" fontId="9" fillId="5" borderId="29" xfId="0" applyFont="1" applyFill="1" applyBorder="1"/>
    <xf numFmtId="0" fontId="9" fillId="5" borderId="24" xfId="0" applyFont="1" applyFill="1" applyBorder="1"/>
    <xf numFmtId="44" fontId="0" fillId="6" borderId="46" xfId="0" applyNumberFormat="1" applyFont="1" applyFill="1" applyBorder="1"/>
    <xf numFmtId="44" fontId="0" fillId="6" borderId="54" xfId="0" applyNumberFormat="1" applyFont="1" applyFill="1" applyBorder="1"/>
    <xf numFmtId="0" fontId="4" fillId="6" borderId="28" xfId="0" applyFont="1" applyFill="1" applyBorder="1"/>
    <xf numFmtId="0" fontId="4" fillId="0" borderId="0" xfId="0" applyFont="1" applyAlignment="1">
      <alignment horizontal="left" vertical="center"/>
    </xf>
    <xf numFmtId="0" fontId="0" fillId="0" borderId="0" xfId="0" applyFont="1" applyAlignment="1">
      <alignment horizontal="left" vertical="center" wrapText="1"/>
    </xf>
    <xf numFmtId="0" fontId="4" fillId="0" borderId="0" xfId="0" applyFont="1" applyAlignment="1">
      <alignment vertical="center"/>
    </xf>
    <xf numFmtId="0" fontId="27" fillId="0" borderId="0" xfId="0" applyFont="1" applyAlignment="1">
      <alignment horizontal="left" vertical="center"/>
    </xf>
    <xf numFmtId="0" fontId="0" fillId="0" borderId="0" xfId="0" applyFont="1" applyAlignment="1">
      <alignment horizontal="left" vertical="center"/>
    </xf>
    <xf numFmtId="0" fontId="28" fillId="0" borderId="0" xfId="0" applyFont="1"/>
    <xf numFmtId="3" fontId="5" fillId="0" borderId="0" xfId="0" applyNumberFormat="1" applyFont="1" applyAlignment="1">
      <alignment horizontal="center"/>
    </xf>
    <xf numFmtId="3" fontId="10" fillId="0" borderId="0" xfId="0" applyNumberFormat="1" applyFont="1"/>
    <xf numFmtId="0" fontId="0" fillId="0" borderId="0" xfId="0" applyFont="1" applyAlignment="1">
      <alignment horizontal="right"/>
    </xf>
    <xf numFmtId="0" fontId="12" fillId="2" borderId="38" xfId="0" applyFont="1" applyFill="1" applyBorder="1" applyAlignment="1">
      <alignment horizontal="center"/>
    </xf>
    <xf numFmtId="0" fontId="4" fillId="0" borderId="16" xfId="0" applyFont="1" applyBorder="1"/>
    <xf numFmtId="17" fontId="4" fillId="0" borderId="0" xfId="0" applyNumberFormat="1" applyFont="1"/>
    <xf numFmtId="0" fontId="4" fillId="8" borderId="55" xfId="0" applyFont="1" applyFill="1" applyBorder="1"/>
    <xf numFmtId="165" fontId="0" fillId="8" borderId="4" xfId="0" applyNumberFormat="1" applyFont="1" applyFill="1" applyBorder="1"/>
    <xf numFmtId="165" fontId="0" fillId="8" borderId="6" xfId="0" applyNumberFormat="1" applyFont="1" applyFill="1" applyBorder="1"/>
    <xf numFmtId="165" fontId="0" fillId="8" borderId="55" xfId="0" applyNumberFormat="1" applyFont="1" applyFill="1" applyBorder="1"/>
    <xf numFmtId="165" fontId="0" fillId="0" borderId="0" xfId="0" applyNumberFormat="1" applyFont="1"/>
    <xf numFmtId="0" fontId="4" fillId="8" borderId="4" xfId="0" applyFont="1" applyFill="1" applyBorder="1"/>
    <xf numFmtId="165" fontId="0" fillId="0" borderId="16" xfId="0" applyNumberFormat="1" applyFont="1" applyBorder="1"/>
    <xf numFmtId="167" fontId="0" fillId="0" borderId="16" xfId="0" applyNumberFormat="1" applyFont="1" applyBorder="1"/>
    <xf numFmtId="167" fontId="0" fillId="6" borderId="28" xfId="0" applyNumberFormat="1" applyFont="1" applyFill="1" applyBorder="1"/>
    <xf numFmtId="0" fontId="4" fillId="8" borderId="55" xfId="0" applyFont="1" applyFill="1" applyBorder="1" applyAlignment="1">
      <alignment horizontal="left"/>
    </xf>
    <xf numFmtId="167" fontId="10" fillId="0" borderId="16" xfId="0" applyNumberFormat="1" applyFont="1" applyBorder="1"/>
    <xf numFmtId="165" fontId="7" fillId="0" borderId="0" xfId="0" applyNumberFormat="1" applyFont="1"/>
    <xf numFmtId="165" fontId="4" fillId="0" borderId="16" xfId="0" applyNumberFormat="1" applyFont="1" applyBorder="1"/>
    <xf numFmtId="165" fontId="4" fillId="0" borderId="0" xfId="0" applyNumberFormat="1" applyFont="1"/>
    <xf numFmtId="165" fontId="0" fillId="0" borderId="27" xfId="0" applyNumberFormat="1" applyFont="1" applyBorder="1"/>
    <xf numFmtId="0" fontId="0" fillId="9" borderId="56" xfId="0" applyFill="1" applyBorder="1" applyProtection="1">
      <protection locked="0"/>
    </xf>
    <xf numFmtId="42" fontId="1" fillId="9" borderId="28" xfId="1" applyNumberFormat="1" applyFont="1" applyFill="1" applyBorder="1" applyProtection="1">
      <protection locked="0"/>
    </xf>
    <xf numFmtId="42" fontId="1" fillId="9" borderId="57" xfId="1" applyNumberFormat="1" applyFont="1" applyFill="1" applyBorder="1" applyProtection="1">
      <protection locked="0"/>
    </xf>
    <xf numFmtId="42" fontId="1" fillId="9" borderId="58" xfId="1" applyNumberFormat="1" applyFont="1" applyFill="1" applyBorder="1" applyProtection="1">
      <protection locked="0"/>
    </xf>
    <xf numFmtId="0" fontId="33" fillId="5" borderId="27" xfId="0" applyFont="1" applyFill="1" applyBorder="1"/>
    <xf numFmtId="0" fontId="34" fillId="5" borderId="27" xfId="0" applyFont="1" applyFill="1" applyBorder="1"/>
    <xf numFmtId="0" fontId="0" fillId="10" borderId="57" xfId="0" applyFill="1" applyBorder="1" applyProtection="1">
      <protection locked="0"/>
    </xf>
    <xf numFmtId="0" fontId="34" fillId="9" borderId="56" xfId="0" applyFont="1" applyFill="1" applyBorder="1" applyProtection="1">
      <protection locked="0"/>
    </xf>
    <xf numFmtId="0" fontId="0" fillId="0" borderId="0" xfId="0" applyFont="1"/>
    <xf numFmtId="0" fontId="0" fillId="0" borderId="0" xfId="0" applyFont="1" applyAlignment="1"/>
    <xf numFmtId="0" fontId="10" fillId="0" borderId="0" xfId="0" applyFont="1" applyAlignment="1">
      <alignment wrapText="1"/>
    </xf>
    <xf numFmtId="0" fontId="0" fillId="0" borderId="0" xfId="0" applyFont="1" applyAlignment="1">
      <alignment horizontal="left"/>
    </xf>
    <xf numFmtId="0" fontId="4" fillId="0" borderId="0" xfId="0" applyFont="1"/>
    <xf numFmtId="0" fontId="10" fillId="0" borderId="0" xfId="0" applyFont="1" applyAlignment="1">
      <alignment horizontal="left" wrapText="1"/>
    </xf>
    <xf numFmtId="0" fontId="10" fillId="0" borderId="0" xfId="0" applyFont="1" applyAlignment="1">
      <alignment horizontal="left"/>
    </xf>
    <xf numFmtId="0" fontId="10" fillId="0" borderId="0" xfId="0" applyFont="1"/>
    <xf numFmtId="0" fontId="4" fillId="0" borderId="0" xfId="0" applyFont="1" applyAlignment="1">
      <alignment horizontal="left"/>
    </xf>
    <xf numFmtId="0" fontId="0" fillId="0" borderId="0" xfId="0" applyFont="1" applyAlignment="1">
      <alignment vertical="center" wrapText="1"/>
    </xf>
    <xf numFmtId="0" fontId="4" fillId="6" borderId="13" xfId="0" applyFont="1" applyFill="1" applyBorder="1"/>
    <xf numFmtId="0" fontId="3" fillId="0" borderId="14" xfId="0" applyFont="1" applyBorder="1"/>
    <xf numFmtId="0" fontId="3" fillId="0" borderId="15" xfId="0" applyFont="1" applyBorder="1"/>
    <xf numFmtId="0" fontId="26" fillId="0" borderId="0" xfId="0" applyFont="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2" fillId="0" borderId="0" xfId="0" applyFont="1" applyAlignment="1">
      <alignment horizontal="center"/>
    </xf>
    <xf numFmtId="0" fontId="4" fillId="4" borderId="13" xfId="0" applyFont="1" applyFill="1" applyBorder="1"/>
    <xf numFmtId="0" fontId="4" fillId="5" borderId="13" xfId="0" applyFont="1" applyFill="1" applyBorder="1"/>
    <xf numFmtId="0" fontId="5" fillId="0" borderId="0" xfId="0" applyFont="1" applyAlignment="1">
      <alignment horizontal="left"/>
    </xf>
    <xf numFmtId="0" fontId="0" fillId="0" borderId="0" xfId="0" applyFont="1" applyAlignment="1">
      <alignment wrapText="1"/>
    </xf>
    <xf numFmtId="0" fontId="4" fillId="0" borderId="30" xfId="0" applyFont="1" applyBorder="1" applyAlignment="1">
      <alignment horizontal="left"/>
    </xf>
    <xf numFmtId="0" fontId="3" fillId="0" borderId="31" xfId="0" applyFont="1" applyBorder="1"/>
    <xf numFmtId="0" fontId="4" fillId="3" borderId="21" xfId="0" applyFont="1" applyFill="1" applyBorder="1" applyAlignment="1">
      <alignment horizontal="center"/>
    </xf>
    <xf numFmtId="0" fontId="3" fillId="0" borderId="22" xfId="0" applyFont="1" applyBorder="1"/>
    <xf numFmtId="0" fontId="3" fillId="0" borderId="23" xfId="0" applyFont="1" applyBorder="1"/>
    <xf numFmtId="0" fontId="4" fillId="0" borderId="18" xfId="0" applyFont="1" applyBorder="1" applyAlignment="1">
      <alignment horizontal="center"/>
    </xf>
    <xf numFmtId="0" fontId="3" fillId="0" borderId="19" xfId="0" applyFont="1" applyBorder="1"/>
    <xf numFmtId="0" fontId="3" fillId="0" borderId="20" xfId="0" applyFont="1" applyBorder="1"/>
    <xf numFmtId="0" fontId="5" fillId="0" borderId="7" xfId="0" applyFont="1" applyBorder="1" applyAlignment="1">
      <alignment horizontal="center" wrapText="1"/>
    </xf>
    <xf numFmtId="0" fontId="3" fillId="0" borderId="8" xfId="0" applyFont="1" applyBorder="1"/>
    <xf numFmtId="0" fontId="3" fillId="0" borderId="9" xfId="0" applyFont="1" applyBorder="1"/>
    <xf numFmtId="0" fontId="3" fillId="0" borderId="12" xfId="0" applyFont="1" applyBorder="1"/>
    <xf numFmtId="0" fontId="3" fillId="0" borderId="11" xfId="0" applyFont="1" applyBorder="1"/>
    <xf numFmtId="0" fontId="3" fillId="0" borderId="18"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4" borderId="13" xfId="0" applyFont="1" applyFill="1" applyBorder="1" applyAlignment="1">
      <alignment horizontal="center" wrapText="1"/>
    </xf>
    <xf numFmtId="0" fontId="24" fillId="3" borderId="21" xfId="0" applyFont="1" applyFill="1" applyBorder="1" applyAlignment="1">
      <alignment horizontal="left"/>
    </xf>
    <xf numFmtId="0" fontId="25" fillId="3" borderId="36" xfId="0" applyFont="1" applyFill="1" applyBorder="1" applyAlignment="1">
      <alignment horizontal="left"/>
    </xf>
    <xf numFmtId="0" fontId="3" fillId="0" borderId="30" xfId="0" applyFont="1" applyBorder="1"/>
    <xf numFmtId="0" fontId="16" fillId="2" borderId="1" xfId="0" applyFont="1" applyFill="1" applyBorder="1" applyAlignment="1">
      <alignment horizontal="center"/>
    </xf>
    <xf numFmtId="0" fontId="21" fillId="3" borderId="36" xfId="0" applyFont="1" applyFill="1" applyBorder="1" applyAlignment="1">
      <alignment horizontal="left"/>
    </xf>
    <xf numFmtId="0" fontId="16" fillId="0" borderId="40" xfId="0" applyFont="1" applyBorder="1" applyAlignment="1">
      <alignment horizontal="center"/>
    </xf>
    <xf numFmtId="0" fontId="3" fillId="0" borderId="40" xfId="0" applyFont="1" applyBorder="1"/>
    <xf numFmtId="0" fontId="23" fillId="3" borderId="21" xfId="0" applyFont="1" applyFill="1" applyBorder="1" applyAlignment="1">
      <alignment horizontal="left"/>
    </xf>
    <xf numFmtId="0" fontId="12" fillId="2" borderId="36" xfId="0" applyFont="1" applyFill="1" applyBorder="1" applyAlignment="1">
      <alignment horizontal="center"/>
    </xf>
    <xf numFmtId="0" fontId="13" fillId="0" borderId="8" xfId="0" applyFont="1" applyBorder="1" applyAlignment="1">
      <alignment horizontal="center"/>
    </xf>
    <xf numFmtId="0" fontId="16" fillId="3" borderId="1" xfId="0" applyFont="1" applyFill="1" applyBorder="1" applyAlignment="1">
      <alignment horizontal="left"/>
    </xf>
    <xf numFmtId="0" fontId="12" fillId="2" borderId="1" xfId="0" applyFont="1" applyFill="1" applyBorder="1" applyAlignment="1">
      <alignment horizontal="center"/>
    </xf>
    <xf numFmtId="0" fontId="13" fillId="0" borderId="40" xfId="0" applyFont="1" applyBorder="1" applyAlignment="1">
      <alignment horizontal="center"/>
    </xf>
    <xf numFmtId="0" fontId="13" fillId="0" borderId="40" xfId="0" applyFont="1" applyBorder="1" applyAlignment="1">
      <alignment horizontal="center" vertical="center"/>
    </xf>
  </cellXfs>
  <cellStyles count="2">
    <cellStyle name="Currency" xfId="1" builtinId="4"/>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csdk12.org/choice/charter-school-application-process" TargetMode="External"/><Relationship Id="rId2" Type="http://schemas.openxmlformats.org/officeDocument/2006/relationships/hyperlink" Target="https://www.dcsdk12.org/sites/default/files/Charter%20School%20Procedure%20Manual%203-9-16%20%281%29.pdf" TargetMode="External"/><Relationship Id="rId1" Type="http://schemas.openxmlformats.org/officeDocument/2006/relationships/hyperlink" Target="http://www.cde.state.co.us/cdefinance/sfFP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ySplit="2" topLeftCell="A3" activePane="bottomLeft" state="frozen"/>
      <selection pane="bottomLeft" activeCell="B4" sqref="B4"/>
    </sheetView>
  </sheetViews>
  <sheetFormatPr defaultColWidth="14.42578125" defaultRowHeight="15" customHeight="1"/>
  <cols>
    <col min="1" max="11" width="9.140625" customWidth="1"/>
    <col min="12" max="26" width="8.7109375" customWidth="1"/>
  </cols>
  <sheetData>
    <row r="1" spans="1:26" ht="21">
      <c r="A1" s="291" t="s">
        <v>339</v>
      </c>
      <c r="B1" s="276"/>
      <c r="C1" s="276"/>
      <c r="D1" s="276"/>
      <c r="E1" s="276"/>
      <c r="F1" s="276"/>
      <c r="G1" s="276"/>
      <c r="H1" s="276"/>
      <c r="I1" s="276"/>
      <c r="J1" s="276"/>
      <c r="K1" s="276"/>
      <c r="L1" s="4"/>
      <c r="M1" s="4"/>
      <c r="N1" s="4"/>
      <c r="O1" s="4"/>
      <c r="P1" s="4"/>
      <c r="Q1" s="4"/>
      <c r="R1" s="4"/>
      <c r="S1" s="4"/>
      <c r="T1" s="4"/>
      <c r="U1" s="4"/>
      <c r="V1" s="4"/>
      <c r="W1" s="4"/>
      <c r="X1" s="4"/>
      <c r="Y1" s="4"/>
      <c r="Z1" s="4"/>
    </row>
    <row r="2" spans="1:26" ht="21">
      <c r="A2" s="291" t="s">
        <v>340</v>
      </c>
      <c r="B2" s="276"/>
      <c r="C2" s="276"/>
      <c r="D2" s="276"/>
      <c r="E2" s="276"/>
      <c r="F2" s="276"/>
      <c r="G2" s="276"/>
      <c r="H2" s="276"/>
      <c r="I2" s="276"/>
      <c r="J2" s="276"/>
      <c r="K2" s="276"/>
      <c r="L2" s="4"/>
      <c r="M2" s="4"/>
      <c r="N2" s="4"/>
      <c r="O2" s="4"/>
      <c r="P2" s="4"/>
      <c r="Q2" s="4"/>
      <c r="R2" s="4"/>
      <c r="S2" s="4"/>
      <c r="T2" s="4"/>
      <c r="U2" s="4"/>
      <c r="V2" s="4"/>
      <c r="W2" s="4"/>
      <c r="X2" s="4"/>
      <c r="Y2" s="4"/>
      <c r="Z2" s="4"/>
    </row>
    <row r="3" spans="1:26">
      <c r="A3" s="23"/>
      <c r="B3" s="4"/>
      <c r="C3" s="4"/>
      <c r="D3" s="4"/>
      <c r="E3" s="4"/>
      <c r="F3" s="4"/>
      <c r="G3" s="4"/>
      <c r="H3" s="4"/>
      <c r="I3" s="4"/>
      <c r="J3" s="4"/>
      <c r="K3" s="4"/>
      <c r="L3" s="4"/>
      <c r="M3" s="4"/>
      <c r="N3" s="4"/>
      <c r="O3" s="4"/>
      <c r="P3" s="4"/>
      <c r="Q3" s="4"/>
      <c r="R3" s="4"/>
      <c r="S3" s="4"/>
      <c r="T3" s="4"/>
      <c r="U3" s="4"/>
      <c r="V3" s="4"/>
      <c r="W3" s="4"/>
      <c r="X3" s="4"/>
      <c r="Y3" s="4"/>
      <c r="Z3" s="4"/>
    </row>
    <row r="4" spans="1:26">
      <c r="A4" s="239" t="s">
        <v>341</v>
      </c>
      <c r="B4" s="31"/>
      <c r="C4" s="31"/>
      <c r="D4" s="31"/>
      <c r="E4" s="31"/>
      <c r="F4" s="31"/>
      <c r="G4" s="31"/>
      <c r="H4" s="4"/>
      <c r="I4" s="4"/>
      <c r="J4" s="4"/>
      <c r="K4" s="4"/>
      <c r="L4" s="4"/>
      <c r="M4" s="4"/>
      <c r="N4" s="4"/>
      <c r="O4" s="4"/>
      <c r="P4" s="4"/>
      <c r="Q4" s="4"/>
      <c r="R4" s="4"/>
      <c r="S4" s="4"/>
      <c r="T4" s="4"/>
      <c r="U4" s="4"/>
      <c r="V4" s="4"/>
      <c r="W4" s="4"/>
      <c r="X4" s="4"/>
      <c r="Y4" s="4"/>
      <c r="Z4" s="4"/>
    </row>
    <row r="5" spans="1:26">
      <c r="A5" s="23"/>
      <c r="B5" s="4"/>
      <c r="C5" s="4"/>
      <c r="D5" s="4"/>
      <c r="E5" s="4"/>
      <c r="F5" s="4"/>
      <c r="G5" s="4"/>
      <c r="H5" s="4"/>
      <c r="I5" s="4"/>
      <c r="J5" s="4"/>
      <c r="K5" s="4"/>
      <c r="L5" s="4"/>
      <c r="M5" s="4"/>
      <c r="N5" s="4"/>
      <c r="O5" s="4"/>
      <c r="P5" s="4"/>
      <c r="Q5" s="4"/>
      <c r="R5" s="4"/>
      <c r="S5" s="4"/>
      <c r="T5" s="4"/>
      <c r="U5" s="4"/>
      <c r="V5" s="4"/>
      <c r="W5" s="4"/>
      <c r="X5" s="4"/>
      <c r="Y5" s="4"/>
      <c r="Z5" s="4"/>
    </row>
    <row r="6" spans="1:26">
      <c r="A6" s="275" t="s">
        <v>342</v>
      </c>
      <c r="B6" s="276"/>
      <c r="C6" s="276"/>
      <c r="D6" s="276"/>
      <c r="E6" s="276"/>
      <c r="F6" s="276"/>
      <c r="G6" s="276"/>
      <c r="H6" s="276"/>
      <c r="I6" s="276"/>
      <c r="J6" s="276"/>
      <c r="K6" s="276"/>
      <c r="L6" s="4"/>
      <c r="M6" s="4"/>
      <c r="N6" s="4"/>
      <c r="O6" s="4"/>
      <c r="P6" s="4"/>
      <c r="Q6" s="4"/>
      <c r="R6" s="4"/>
      <c r="S6" s="4"/>
      <c r="T6" s="4"/>
      <c r="U6" s="4"/>
      <c r="V6" s="4"/>
      <c r="W6" s="4"/>
      <c r="X6" s="4"/>
      <c r="Y6" s="4"/>
      <c r="Z6" s="4"/>
    </row>
    <row r="7" spans="1:26">
      <c r="A7" s="23"/>
      <c r="B7" s="4"/>
      <c r="C7" s="4"/>
      <c r="D7" s="4"/>
      <c r="E7" s="4"/>
      <c r="F7" s="4"/>
      <c r="G7" s="4"/>
      <c r="H7" s="4"/>
      <c r="I7" s="4"/>
      <c r="J7" s="4"/>
      <c r="K7" s="4"/>
      <c r="L7" s="4"/>
      <c r="M7" s="4"/>
      <c r="N7" s="4"/>
      <c r="O7" s="4"/>
      <c r="P7" s="4"/>
      <c r="Q7" s="4"/>
      <c r="R7" s="4"/>
      <c r="S7" s="4"/>
      <c r="T7" s="4"/>
      <c r="U7" s="4"/>
      <c r="V7" s="4"/>
      <c r="W7" s="4"/>
      <c r="X7" s="4"/>
      <c r="Y7" s="4"/>
      <c r="Z7" s="4"/>
    </row>
    <row r="8" spans="1:26">
      <c r="A8" s="292" t="s">
        <v>343</v>
      </c>
      <c r="B8" s="286"/>
      <c r="C8" s="286"/>
      <c r="D8" s="286"/>
      <c r="E8" s="286"/>
      <c r="F8" s="286"/>
      <c r="G8" s="286"/>
      <c r="H8" s="286"/>
      <c r="I8" s="286"/>
      <c r="J8" s="286"/>
      <c r="K8" s="287"/>
      <c r="L8" s="4"/>
      <c r="M8" s="4"/>
      <c r="N8" s="4"/>
      <c r="O8" s="4"/>
      <c r="P8" s="4"/>
      <c r="Q8" s="4"/>
      <c r="R8" s="4"/>
      <c r="S8" s="4"/>
      <c r="T8" s="4"/>
      <c r="U8" s="4"/>
      <c r="V8" s="4"/>
      <c r="W8" s="4"/>
      <c r="X8" s="4"/>
      <c r="Y8" s="4"/>
      <c r="Z8" s="4"/>
    </row>
    <row r="9" spans="1:26">
      <c r="A9" s="293" t="s">
        <v>344</v>
      </c>
      <c r="B9" s="286"/>
      <c r="C9" s="286"/>
      <c r="D9" s="286"/>
      <c r="E9" s="286"/>
      <c r="F9" s="286"/>
      <c r="G9" s="286"/>
      <c r="H9" s="286"/>
      <c r="I9" s="286"/>
      <c r="J9" s="286"/>
      <c r="K9" s="287"/>
      <c r="L9" s="4"/>
      <c r="M9" s="4"/>
      <c r="N9" s="4"/>
      <c r="O9" s="4"/>
      <c r="P9" s="4"/>
      <c r="Q9" s="4"/>
      <c r="R9" s="4"/>
      <c r="S9" s="4"/>
      <c r="T9" s="4"/>
      <c r="U9" s="4"/>
      <c r="V9" s="4"/>
      <c r="W9" s="4"/>
      <c r="X9" s="4"/>
      <c r="Y9" s="4"/>
      <c r="Z9" s="4"/>
    </row>
    <row r="10" spans="1:26">
      <c r="A10" s="279" t="s">
        <v>345</v>
      </c>
      <c r="B10" s="276"/>
      <c r="C10" s="276"/>
      <c r="D10" s="276"/>
      <c r="E10" s="276"/>
      <c r="F10" s="276"/>
      <c r="G10" s="276"/>
      <c r="H10" s="276"/>
      <c r="I10" s="276"/>
      <c r="J10" s="276"/>
      <c r="K10" s="276"/>
      <c r="L10" s="4"/>
      <c r="M10" s="4"/>
      <c r="N10" s="4"/>
      <c r="O10" s="4"/>
      <c r="P10" s="4"/>
      <c r="Q10" s="4"/>
      <c r="R10" s="4"/>
      <c r="S10" s="4"/>
      <c r="T10" s="4"/>
      <c r="U10" s="4"/>
      <c r="V10" s="4"/>
      <c r="W10" s="4"/>
      <c r="X10" s="4"/>
      <c r="Y10" s="4"/>
      <c r="Z10" s="4"/>
    </row>
    <row r="11" spans="1:26">
      <c r="A11" s="285" t="s">
        <v>346</v>
      </c>
      <c r="B11" s="286"/>
      <c r="C11" s="286"/>
      <c r="D11" s="286"/>
      <c r="E11" s="286"/>
      <c r="F11" s="286"/>
      <c r="G11" s="286"/>
      <c r="H11" s="286"/>
      <c r="I11" s="286"/>
      <c r="J11" s="286"/>
      <c r="K11" s="287"/>
      <c r="L11" s="4"/>
      <c r="M11" s="4"/>
      <c r="N11" s="4"/>
      <c r="O11" s="4"/>
      <c r="P11" s="4"/>
      <c r="Q11" s="4"/>
      <c r="R11" s="4"/>
      <c r="S11" s="4"/>
      <c r="T11" s="4"/>
      <c r="U11" s="4"/>
      <c r="V11" s="4"/>
      <c r="W11" s="4"/>
      <c r="X11" s="4"/>
      <c r="Y11" s="4"/>
      <c r="Z11" s="4"/>
    </row>
    <row r="12" spans="1:26">
      <c r="A12" s="23"/>
      <c r="B12" s="4"/>
      <c r="C12" s="4"/>
      <c r="D12" s="4"/>
      <c r="E12" s="4"/>
      <c r="F12" s="4"/>
      <c r="G12" s="4"/>
      <c r="H12" s="4"/>
      <c r="I12" s="4"/>
      <c r="J12" s="4"/>
      <c r="K12" s="4"/>
      <c r="L12" s="4"/>
      <c r="M12" s="4"/>
      <c r="N12" s="4"/>
      <c r="O12" s="4"/>
      <c r="P12" s="4"/>
      <c r="Q12" s="4"/>
      <c r="R12" s="4"/>
      <c r="S12" s="4"/>
      <c r="T12" s="4"/>
      <c r="U12" s="4"/>
      <c r="V12" s="4"/>
      <c r="W12" s="4"/>
      <c r="X12" s="4"/>
      <c r="Y12" s="4"/>
      <c r="Z12" s="4"/>
    </row>
    <row r="13" spans="1:26">
      <c r="A13" s="294" t="s">
        <v>347</v>
      </c>
      <c r="B13" s="276"/>
      <c r="C13" s="276"/>
      <c r="D13" s="276"/>
      <c r="E13" s="276"/>
      <c r="F13" s="276"/>
      <c r="G13" s="276"/>
      <c r="H13" s="276"/>
      <c r="I13" s="276"/>
      <c r="J13" s="276"/>
      <c r="K13" s="276"/>
      <c r="L13" s="4"/>
      <c r="M13" s="4"/>
      <c r="N13" s="4"/>
      <c r="O13" s="4"/>
      <c r="P13" s="4"/>
      <c r="Q13" s="4"/>
      <c r="R13" s="4"/>
      <c r="S13" s="4"/>
      <c r="T13" s="4"/>
      <c r="U13" s="4"/>
      <c r="V13" s="4"/>
      <c r="W13" s="4"/>
      <c r="X13" s="4"/>
      <c r="Y13" s="4"/>
      <c r="Z13" s="4"/>
    </row>
    <row r="14" spans="1:26">
      <c r="A14" s="281" t="s">
        <v>348</v>
      </c>
      <c r="B14" s="276"/>
      <c r="C14" s="276"/>
      <c r="D14" s="276"/>
      <c r="E14" s="276"/>
      <c r="F14" s="276"/>
      <c r="G14" s="276"/>
      <c r="H14" s="276"/>
      <c r="I14" s="276"/>
      <c r="J14" s="276"/>
      <c r="K14" s="276"/>
      <c r="L14" s="4"/>
      <c r="M14" s="4"/>
      <c r="N14" s="4"/>
      <c r="O14" s="4"/>
      <c r="P14" s="4"/>
      <c r="Q14" s="4"/>
      <c r="R14" s="4"/>
      <c r="S14" s="4"/>
      <c r="T14" s="4"/>
      <c r="U14" s="4"/>
      <c r="V14" s="4"/>
      <c r="W14" s="4"/>
      <c r="X14" s="4"/>
      <c r="Y14" s="4"/>
      <c r="Z14" s="4"/>
    </row>
    <row r="15" spans="1:26" ht="30" customHeight="1">
      <c r="A15" s="277" t="s">
        <v>349</v>
      </c>
      <c r="B15" s="276"/>
      <c r="C15" s="276"/>
      <c r="D15" s="276"/>
      <c r="E15" s="276"/>
      <c r="F15" s="276"/>
      <c r="G15" s="276"/>
      <c r="H15" s="276"/>
      <c r="I15" s="276"/>
      <c r="J15" s="276"/>
      <c r="K15" s="276"/>
      <c r="L15" s="4"/>
      <c r="M15" s="4"/>
      <c r="N15" s="4"/>
      <c r="O15" s="4"/>
      <c r="P15" s="4"/>
      <c r="Q15" s="4"/>
      <c r="R15" s="4"/>
      <c r="S15" s="4"/>
      <c r="T15" s="4"/>
      <c r="U15" s="4"/>
      <c r="V15" s="4"/>
      <c r="W15" s="4"/>
      <c r="X15" s="4"/>
      <c r="Y15" s="4"/>
      <c r="Z15" s="4"/>
    </row>
    <row r="16" spans="1:26">
      <c r="A16" s="277" t="s">
        <v>350</v>
      </c>
      <c r="B16" s="276"/>
      <c r="C16" s="276"/>
      <c r="D16" s="276"/>
      <c r="E16" s="276"/>
      <c r="F16" s="276"/>
      <c r="G16" s="276"/>
      <c r="H16" s="276"/>
      <c r="I16" s="276"/>
      <c r="J16" s="276"/>
      <c r="K16" s="276"/>
      <c r="L16" s="4"/>
      <c r="M16" s="4"/>
      <c r="N16" s="4"/>
      <c r="O16" s="4"/>
      <c r="P16" s="4"/>
      <c r="Q16" s="4"/>
      <c r="R16" s="4"/>
      <c r="S16" s="4"/>
      <c r="T16" s="4"/>
      <c r="U16" s="4"/>
      <c r="V16" s="4"/>
      <c r="W16" s="4"/>
      <c r="X16" s="4"/>
      <c r="Y16" s="4"/>
      <c r="Z16" s="4"/>
    </row>
    <row r="17" spans="1:26" ht="30.75" customHeight="1">
      <c r="A17" s="277" t="s">
        <v>351</v>
      </c>
      <c r="B17" s="276"/>
      <c r="C17" s="276"/>
      <c r="D17" s="276"/>
      <c r="E17" s="276"/>
      <c r="F17" s="276"/>
      <c r="G17" s="276"/>
      <c r="H17" s="276"/>
      <c r="I17" s="276"/>
      <c r="J17" s="276"/>
      <c r="K17" s="276"/>
      <c r="L17" s="4"/>
      <c r="M17" s="4"/>
      <c r="N17" s="4"/>
      <c r="O17" s="4"/>
      <c r="P17" s="4"/>
      <c r="Q17" s="4"/>
      <c r="R17" s="4"/>
      <c r="S17" s="4"/>
      <c r="T17" s="4"/>
      <c r="U17" s="4"/>
      <c r="V17" s="4"/>
      <c r="W17" s="4"/>
      <c r="X17" s="4"/>
      <c r="Y17" s="4"/>
      <c r="Z17" s="4"/>
    </row>
    <row r="18" spans="1:26" ht="30.75" customHeight="1">
      <c r="A18" s="277" t="s">
        <v>352</v>
      </c>
      <c r="B18" s="276"/>
      <c r="C18" s="276"/>
      <c r="D18" s="276"/>
      <c r="E18" s="276"/>
      <c r="F18" s="276"/>
      <c r="G18" s="276"/>
      <c r="H18" s="276"/>
      <c r="I18" s="276"/>
      <c r="J18" s="276"/>
      <c r="K18" s="276"/>
      <c r="L18" s="4"/>
      <c r="M18" s="4"/>
      <c r="N18" s="4"/>
      <c r="O18" s="4"/>
      <c r="P18" s="4"/>
      <c r="Q18" s="4"/>
      <c r="R18" s="4"/>
      <c r="S18" s="4"/>
      <c r="T18" s="4"/>
      <c r="U18" s="4"/>
      <c r="V18" s="4"/>
      <c r="W18" s="4"/>
      <c r="X18" s="4"/>
      <c r="Y18" s="4"/>
      <c r="Z18" s="4"/>
    </row>
    <row r="19" spans="1:26" ht="30" customHeight="1">
      <c r="A19" s="277" t="s">
        <v>353</v>
      </c>
      <c r="B19" s="276"/>
      <c r="C19" s="276"/>
      <c r="D19" s="276"/>
      <c r="E19" s="276"/>
      <c r="F19" s="276"/>
      <c r="G19" s="276"/>
      <c r="H19" s="276"/>
      <c r="I19" s="276"/>
      <c r="J19" s="276"/>
      <c r="K19" s="276"/>
      <c r="L19" s="4"/>
      <c r="M19" s="4"/>
      <c r="N19" s="4"/>
      <c r="O19" s="4"/>
      <c r="P19" s="4"/>
      <c r="Q19" s="4"/>
      <c r="R19" s="4"/>
      <c r="S19" s="4"/>
      <c r="T19" s="4"/>
      <c r="U19" s="4"/>
      <c r="V19" s="4"/>
      <c r="W19" s="4"/>
      <c r="X19" s="4"/>
      <c r="Y19" s="4"/>
      <c r="Z19" s="4"/>
    </row>
    <row r="20" spans="1:26" ht="28.5" customHeight="1">
      <c r="A20" s="280" t="s">
        <v>354</v>
      </c>
      <c r="B20" s="276"/>
      <c r="C20" s="276"/>
      <c r="D20" s="276"/>
      <c r="E20" s="276"/>
      <c r="F20" s="276"/>
      <c r="G20" s="276"/>
      <c r="H20" s="276"/>
      <c r="I20" s="276"/>
      <c r="J20" s="276"/>
      <c r="K20" s="276"/>
      <c r="L20" s="4"/>
      <c r="M20" s="4"/>
      <c r="N20" s="4"/>
      <c r="O20" s="4"/>
      <c r="P20" s="4"/>
      <c r="Q20" s="4"/>
      <c r="R20" s="4"/>
      <c r="S20" s="4"/>
      <c r="T20" s="4"/>
      <c r="U20" s="4"/>
      <c r="V20" s="4"/>
      <c r="W20" s="4"/>
      <c r="X20" s="4"/>
      <c r="Y20" s="4"/>
      <c r="Z20" s="4"/>
    </row>
    <row r="21" spans="1:26" ht="30" customHeight="1">
      <c r="A21" s="280" t="s">
        <v>355</v>
      </c>
      <c r="B21" s="276"/>
      <c r="C21" s="276"/>
      <c r="D21" s="276"/>
      <c r="E21" s="276"/>
      <c r="F21" s="276"/>
      <c r="G21" s="276"/>
      <c r="H21" s="276"/>
      <c r="I21" s="276"/>
      <c r="J21" s="276"/>
      <c r="K21" s="276"/>
      <c r="L21" s="4"/>
      <c r="M21" s="4"/>
      <c r="N21" s="4"/>
      <c r="O21" s="4"/>
      <c r="P21" s="4"/>
      <c r="Q21" s="4"/>
      <c r="R21" s="4"/>
      <c r="S21" s="4"/>
      <c r="T21" s="4"/>
      <c r="U21" s="4"/>
      <c r="V21" s="4"/>
      <c r="W21" s="4"/>
      <c r="X21" s="4"/>
      <c r="Y21" s="4"/>
      <c r="Z21" s="4"/>
    </row>
    <row r="22" spans="1:26" ht="30" customHeight="1">
      <c r="A22" s="277" t="s">
        <v>356</v>
      </c>
      <c r="B22" s="276"/>
      <c r="C22" s="276"/>
      <c r="D22" s="276"/>
      <c r="E22" s="276"/>
      <c r="F22" s="276"/>
      <c r="G22" s="276"/>
      <c r="H22" s="276"/>
      <c r="I22" s="276"/>
      <c r="J22" s="276"/>
      <c r="K22" s="276"/>
      <c r="L22" s="4"/>
      <c r="M22" s="4"/>
      <c r="N22" s="4"/>
      <c r="O22" s="4"/>
      <c r="P22" s="4"/>
      <c r="Q22" s="4"/>
      <c r="R22" s="4"/>
      <c r="S22" s="4"/>
      <c r="T22" s="4"/>
      <c r="U22" s="4"/>
      <c r="V22" s="4"/>
      <c r="W22" s="4"/>
      <c r="X22" s="4"/>
      <c r="Y22" s="4"/>
      <c r="Z22" s="4"/>
    </row>
    <row r="23" spans="1:26">
      <c r="A23" s="87"/>
      <c r="B23" s="87"/>
      <c r="C23" s="87"/>
      <c r="D23" s="87"/>
      <c r="E23" s="87"/>
      <c r="F23" s="87"/>
      <c r="G23" s="87"/>
      <c r="H23" s="87"/>
      <c r="I23" s="87"/>
      <c r="J23" s="87"/>
      <c r="K23" s="87"/>
      <c r="L23" s="4"/>
      <c r="M23" s="4"/>
      <c r="N23" s="4"/>
      <c r="O23" s="4"/>
      <c r="P23" s="4"/>
      <c r="Q23" s="4"/>
      <c r="R23" s="4"/>
      <c r="S23" s="4"/>
      <c r="T23" s="4"/>
      <c r="U23" s="4"/>
      <c r="V23" s="4"/>
      <c r="W23" s="4"/>
      <c r="X23" s="4"/>
      <c r="Y23" s="4"/>
      <c r="Z23" s="4"/>
    </row>
    <row r="24" spans="1:26">
      <c r="A24" s="283" t="s">
        <v>357</v>
      </c>
      <c r="B24" s="276"/>
      <c r="C24" s="276"/>
      <c r="D24" s="276"/>
      <c r="E24" s="276"/>
      <c r="F24" s="276"/>
      <c r="G24" s="276"/>
      <c r="H24" s="276"/>
      <c r="I24" s="276"/>
      <c r="J24" s="276"/>
      <c r="K24" s="276"/>
      <c r="L24" s="4"/>
      <c r="M24" s="4"/>
      <c r="N24" s="4"/>
      <c r="O24" s="4"/>
      <c r="P24" s="4"/>
      <c r="Q24" s="4"/>
      <c r="R24" s="4"/>
      <c r="S24" s="4"/>
      <c r="T24" s="4"/>
      <c r="U24" s="4"/>
      <c r="V24" s="4"/>
      <c r="W24" s="4"/>
      <c r="X24" s="4"/>
      <c r="Y24" s="4"/>
      <c r="Z24" s="4"/>
    </row>
    <row r="25" spans="1:26">
      <c r="A25" s="281" t="s">
        <v>358</v>
      </c>
      <c r="B25" s="276"/>
      <c r="C25" s="276"/>
      <c r="D25" s="276"/>
      <c r="E25" s="276"/>
      <c r="F25" s="276"/>
      <c r="G25" s="276"/>
      <c r="H25" s="276"/>
      <c r="I25" s="276"/>
      <c r="J25" s="276"/>
      <c r="K25" s="276"/>
      <c r="L25" s="11"/>
      <c r="M25" s="11"/>
      <c r="N25" s="11"/>
      <c r="O25" s="11"/>
      <c r="P25" s="11"/>
      <c r="Q25" s="11"/>
      <c r="R25" s="11"/>
      <c r="S25" s="11"/>
      <c r="T25" s="11"/>
      <c r="U25" s="11"/>
      <c r="V25" s="11"/>
      <c r="W25" s="11"/>
      <c r="X25" s="11"/>
      <c r="Y25" s="11"/>
      <c r="Z25" s="11"/>
    </row>
    <row r="26" spans="1:26">
      <c r="A26" s="282" t="s">
        <v>359</v>
      </c>
      <c r="B26" s="276"/>
      <c r="C26" s="276"/>
      <c r="D26" s="276"/>
      <c r="E26" s="276"/>
      <c r="F26" s="276"/>
      <c r="G26" s="276"/>
      <c r="H26" s="276"/>
      <c r="I26" s="276"/>
      <c r="J26" s="276"/>
      <c r="K26" s="276"/>
      <c r="L26" s="11"/>
      <c r="M26" s="11"/>
      <c r="N26" s="11"/>
      <c r="O26" s="11"/>
      <c r="P26" s="11"/>
      <c r="Q26" s="11"/>
      <c r="R26" s="11"/>
      <c r="S26" s="11"/>
      <c r="T26" s="11"/>
      <c r="U26" s="11"/>
      <c r="V26" s="11"/>
      <c r="W26" s="11"/>
      <c r="X26" s="11"/>
      <c r="Y26" s="11"/>
      <c r="Z26" s="11"/>
    </row>
    <row r="27" spans="1:26">
      <c r="A27" s="105" t="s">
        <v>360</v>
      </c>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30.75" customHeight="1">
      <c r="A28" s="280" t="s">
        <v>361</v>
      </c>
      <c r="B28" s="276"/>
      <c r="C28" s="276"/>
      <c r="D28" s="276"/>
      <c r="E28" s="276"/>
      <c r="F28" s="276"/>
      <c r="G28" s="276"/>
      <c r="H28" s="276"/>
      <c r="I28" s="276"/>
      <c r="J28" s="276"/>
      <c r="K28" s="276"/>
      <c r="L28" s="11"/>
      <c r="M28" s="11"/>
      <c r="N28" s="11"/>
      <c r="O28" s="11"/>
      <c r="P28" s="11"/>
      <c r="Q28" s="11"/>
      <c r="R28" s="11"/>
      <c r="S28" s="11"/>
      <c r="T28" s="11"/>
      <c r="U28" s="11"/>
      <c r="V28" s="11"/>
      <c r="W28" s="11"/>
      <c r="X28" s="11"/>
      <c r="Y28" s="11"/>
      <c r="Z28" s="11"/>
    </row>
    <row r="29" spans="1:26">
      <c r="A29" s="281" t="s">
        <v>362</v>
      </c>
      <c r="B29" s="276"/>
      <c r="C29" s="276"/>
      <c r="D29" s="276"/>
      <c r="E29" s="276"/>
      <c r="F29" s="276"/>
      <c r="G29" s="276"/>
      <c r="H29" s="276"/>
      <c r="I29" s="276"/>
      <c r="J29" s="276"/>
      <c r="K29" s="276"/>
      <c r="L29" s="11"/>
      <c r="M29" s="11"/>
      <c r="N29" s="11"/>
      <c r="O29" s="11"/>
      <c r="P29" s="11"/>
      <c r="Q29" s="11"/>
      <c r="R29" s="11"/>
      <c r="S29" s="11"/>
      <c r="T29" s="11"/>
      <c r="U29" s="11"/>
      <c r="V29" s="11"/>
      <c r="W29" s="11"/>
      <c r="X29" s="11"/>
      <c r="Y29" s="11"/>
      <c r="Z29" s="11"/>
    </row>
    <row r="30" spans="1:26" ht="31.5" customHeight="1">
      <c r="A30" s="277" t="s">
        <v>363</v>
      </c>
      <c r="B30" s="276"/>
      <c r="C30" s="276"/>
      <c r="D30" s="276"/>
      <c r="E30" s="276"/>
      <c r="F30" s="276"/>
      <c r="G30" s="276"/>
      <c r="H30" s="276"/>
      <c r="I30" s="276"/>
      <c r="J30" s="276"/>
      <c r="K30" s="276"/>
      <c r="L30" s="11"/>
      <c r="M30" s="11"/>
      <c r="N30" s="11"/>
      <c r="O30" s="11"/>
      <c r="P30" s="11"/>
      <c r="Q30" s="11"/>
      <c r="R30" s="11"/>
      <c r="S30" s="11"/>
      <c r="T30" s="11"/>
      <c r="U30" s="11"/>
      <c r="V30" s="11"/>
      <c r="W30" s="11"/>
      <c r="X30" s="11"/>
      <c r="Y30" s="11"/>
      <c r="Z30" s="11"/>
    </row>
    <row r="31" spans="1:26">
      <c r="A31" s="105" t="s">
        <v>364</v>
      </c>
      <c r="B31" s="196"/>
      <c r="C31" s="196"/>
      <c r="D31" s="196"/>
      <c r="E31" s="196"/>
      <c r="F31" s="196"/>
      <c r="G31" s="196"/>
      <c r="H31" s="196"/>
      <c r="I31" s="196"/>
      <c r="J31" s="196"/>
      <c r="K31" s="196"/>
      <c r="L31" s="11"/>
      <c r="M31" s="11"/>
      <c r="N31" s="11"/>
      <c r="O31" s="11"/>
      <c r="P31" s="11"/>
      <c r="Q31" s="11"/>
      <c r="R31" s="11"/>
      <c r="S31" s="11"/>
      <c r="T31" s="11"/>
      <c r="U31" s="11"/>
      <c r="V31" s="11"/>
      <c r="W31" s="11"/>
      <c r="X31" s="11"/>
      <c r="Y31" s="11"/>
      <c r="Z31" s="11"/>
    </row>
    <row r="32" spans="1:26">
      <c r="A32" s="282" t="s">
        <v>365</v>
      </c>
      <c r="B32" s="276"/>
      <c r="C32" s="276"/>
      <c r="D32" s="276"/>
      <c r="E32" s="276"/>
      <c r="F32" s="276"/>
      <c r="G32" s="276"/>
      <c r="H32" s="276"/>
      <c r="I32" s="276"/>
      <c r="J32" s="276"/>
      <c r="K32" s="276"/>
      <c r="L32" s="11"/>
      <c r="M32" s="11"/>
      <c r="N32" s="11"/>
      <c r="O32" s="11"/>
      <c r="P32" s="11"/>
      <c r="Q32" s="11"/>
      <c r="R32" s="11"/>
      <c r="S32" s="11"/>
      <c r="T32" s="11"/>
      <c r="U32" s="11"/>
      <c r="V32" s="11"/>
      <c r="W32" s="11"/>
      <c r="X32" s="11"/>
      <c r="Y32" s="11"/>
      <c r="Z32" s="11"/>
    </row>
    <row r="33" spans="1:26">
      <c r="A33" s="65"/>
      <c r="B33" s="65"/>
      <c r="C33" s="65"/>
      <c r="D33" s="65"/>
      <c r="E33" s="65"/>
      <c r="F33" s="65"/>
      <c r="G33" s="65"/>
      <c r="H33" s="65"/>
      <c r="I33" s="65"/>
      <c r="J33" s="65"/>
      <c r="K33" s="65"/>
      <c r="L33" s="4"/>
      <c r="M33" s="4"/>
      <c r="N33" s="4"/>
      <c r="O33" s="4"/>
      <c r="P33" s="4"/>
      <c r="Q33" s="4"/>
      <c r="R33" s="4"/>
      <c r="S33" s="4"/>
      <c r="T33" s="4"/>
      <c r="U33" s="4"/>
      <c r="V33" s="4"/>
      <c r="W33" s="4"/>
      <c r="X33" s="4"/>
      <c r="Y33" s="4"/>
      <c r="Z33" s="4"/>
    </row>
    <row r="34" spans="1:26">
      <c r="A34" s="283" t="s">
        <v>366</v>
      </c>
      <c r="B34" s="276"/>
      <c r="C34" s="276"/>
      <c r="D34" s="276"/>
      <c r="E34" s="276"/>
      <c r="F34" s="276"/>
      <c r="G34" s="276"/>
      <c r="H34" s="276"/>
      <c r="I34" s="276"/>
      <c r="J34" s="276"/>
      <c r="K34" s="276"/>
      <c r="L34" s="4"/>
      <c r="M34" s="4"/>
      <c r="N34" s="4"/>
      <c r="O34" s="4"/>
      <c r="P34" s="4"/>
      <c r="Q34" s="4"/>
      <c r="R34" s="4"/>
      <c r="S34" s="4"/>
      <c r="T34" s="4"/>
      <c r="U34" s="4"/>
      <c r="V34" s="4"/>
      <c r="W34" s="4"/>
      <c r="X34" s="4"/>
      <c r="Y34" s="4"/>
      <c r="Z34" s="4"/>
    </row>
    <row r="35" spans="1:26">
      <c r="A35" s="275" t="s">
        <v>367</v>
      </c>
      <c r="B35" s="276"/>
      <c r="C35" s="276"/>
      <c r="D35" s="276"/>
      <c r="E35" s="276"/>
      <c r="F35" s="276"/>
      <c r="G35" s="276"/>
      <c r="H35" s="276"/>
      <c r="I35" s="276"/>
      <c r="J35" s="276"/>
      <c r="K35" s="276"/>
      <c r="L35" s="4"/>
      <c r="M35" s="4"/>
      <c r="N35" s="4"/>
      <c r="O35" s="4"/>
      <c r="P35" s="4"/>
      <c r="Q35" s="4"/>
      <c r="R35" s="4"/>
      <c r="S35" s="4"/>
      <c r="T35" s="4"/>
      <c r="U35" s="4"/>
      <c r="V35" s="4"/>
      <c r="W35" s="4"/>
      <c r="X35" s="4"/>
      <c r="Y35" s="4"/>
      <c r="Z35" s="4"/>
    </row>
    <row r="36" spans="1:26">
      <c r="A36" s="275" t="s">
        <v>368</v>
      </c>
      <c r="B36" s="276"/>
      <c r="C36" s="276"/>
      <c r="D36" s="276"/>
      <c r="E36" s="276"/>
      <c r="F36" s="276"/>
      <c r="G36" s="276"/>
      <c r="H36" s="276"/>
      <c r="I36" s="276"/>
      <c r="J36" s="276"/>
      <c r="K36" s="276"/>
      <c r="L36" s="4"/>
      <c r="M36" s="4"/>
      <c r="N36" s="4"/>
      <c r="O36" s="4"/>
      <c r="P36" s="4"/>
      <c r="Q36" s="4"/>
      <c r="R36" s="4"/>
      <c r="S36" s="4"/>
      <c r="T36" s="4"/>
      <c r="U36" s="4"/>
      <c r="V36" s="4"/>
      <c r="W36" s="4"/>
      <c r="X36" s="4"/>
      <c r="Y36" s="4"/>
      <c r="Z36" s="4"/>
    </row>
    <row r="37" spans="1:26">
      <c r="A37" s="275" t="s">
        <v>369</v>
      </c>
      <c r="B37" s="276"/>
      <c r="C37" s="276"/>
      <c r="D37" s="276"/>
      <c r="E37" s="276"/>
      <c r="F37" s="276"/>
      <c r="G37" s="276"/>
      <c r="H37" s="276"/>
      <c r="I37" s="276"/>
      <c r="J37" s="276"/>
      <c r="K37" s="276"/>
      <c r="L37" s="4"/>
      <c r="M37" s="4"/>
      <c r="N37" s="4"/>
      <c r="O37" s="4"/>
      <c r="P37" s="4"/>
      <c r="Q37" s="4"/>
      <c r="R37" s="4"/>
      <c r="S37" s="4"/>
      <c r="T37" s="4"/>
      <c r="U37" s="4"/>
      <c r="V37" s="4"/>
      <c r="W37" s="4"/>
      <c r="X37" s="4"/>
      <c r="Y37" s="4"/>
      <c r="Z37" s="4"/>
    </row>
    <row r="38" spans="1:26" ht="30" customHeight="1">
      <c r="A38" s="277" t="s">
        <v>370</v>
      </c>
      <c r="B38" s="276"/>
      <c r="C38" s="276"/>
      <c r="D38" s="276"/>
      <c r="E38" s="276"/>
      <c r="F38" s="276"/>
      <c r="G38" s="276"/>
      <c r="H38" s="276"/>
      <c r="I38" s="276"/>
      <c r="J38" s="276"/>
      <c r="K38" s="276"/>
      <c r="L38" s="4"/>
      <c r="M38" s="4"/>
      <c r="N38" s="4"/>
      <c r="O38" s="4"/>
      <c r="P38" s="4"/>
      <c r="Q38" s="4"/>
      <c r="R38" s="4"/>
      <c r="S38" s="4"/>
      <c r="T38" s="4"/>
      <c r="U38" s="4"/>
      <c r="V38" s="4"/>
      <c r="W38" s="4"/>
      <c r="X38" s="4"/>
      <c r="Y38" s="4"/>
      <c r="Z38" s="4"/>
    </row>
    <row r="39" spans="1:26">
      <c r="A39" s="275"/>
      <c r="B39" s="276"/>
      <c r="C39" s="276"/>
      <c r="D39" s="276"/>
      <c r="E39" s="276"/>
      <c r="F39" s="276"/>
      <c r="G39" s="276"/>
      <c r="H39" s="276"/>
      <c r="I39" s="276"/>
      <c r="J39" s="276"/>
      <c r="K39" s="276"/>
      <c r="L39" s="4"/>
      <c r="M39" s="4"/>
      <c r="N39" s="4"/>
      <c r="O39" s="4"/>
      <c r="P39" s="4"/>
      <c r="Q39" s="4"/>
      <c r="R39" s="4"/>
      <c r="S39" s="4"/>
      <c r="T39" s="4"/>
      <c r="U39" s="4"/>
      <c r="V39" s="4"/>
      <c r="W39" s="4"/>
      <c r="X39" s="4"/>
      <c r="Y39" s="4"/>
      <c r="Z39" s="4"/>
    </row>
    <row r="40" spans="1:26">
      <c r="A40" s="279" t="s">
        <v>371</v>
      </c>
      <c r="B40" s="276"/>
      <c r="C40" s="276"/>
      <c r="D40" s="276"/>
      <c r="E40" s="276"/>
      <c r="F40" s="276"/>
      <c r="G40" s="276"/>
      <c r="H40" s="276"/>
      <c r="I40" s="276"/>
      <c r="J40" s="276"/>
      <c r="K40" s="276"/>
      <c r="L40" s="4"/>
      <c r="M40" s="4"/>
      <c r="N40" s="4"/>
      <c r="O40" s="4"/>
      <c r="P40" s="4"/>
      <c r="Q40" s="4"/>
      <c r="R40" s="4"/>
      <c r="S40" s="4"/>
      <c r="T40" s="4"/>
      <c r="U40" s="4"/>
      <c r="V40" s="4"/>
      <c r="W40" s="4"/>
      <c r="X40" s="4"/>
      <c r="Y40" s="4"/>
      <c r="Z40" s="4"/>
    </row>
    <row r="41" spans="1:26">
      <c r="A41" s="278" t="s">
        <v>372</v>
      </c>
      <c r="B41" s="276"/>
      <c r="C41" s="276"/>
      <c r="D41" s="276"/>
      <c r="E41" s="276"/>
      <c r="F41" s="276"/>
      <c r="G41" s="276"/>
      <c r="H41" s="276"/>
      <c r="I41" s="276"/>
      <c r="J41" s="276"/>
      <c r="K41" s="276"/>
      <c r="L41" s="4"/>
      <c r="M41" s="4"/>
      <c r="N41" s="4"/>
      <c r="O41" s="4"/>
      <c r="P41" s="4"/>
      <c r="Q41" s="4"/>
      <c r="R41" s="4"/>
      <c r="S41" s="4"/>
      <c r="T41" s="4"/>
      <c r="U41" s="4"/>
      <c r="V41" s="4"/>
      <c r="W41" s="4"/>
      <c r="X41" s="4"/>
      <c r="Y41" s="4"/>
      <c r="Z41" s="4"/>
    </row>
    <row r="42" spans="1:26">
      <c r="A42" s="278"/>
      <c r="B42" s="276"/>
      <c r="C42" s="276"/>
      <c r="D42" s="276"/>
      <c r="E42" s="276"/>
      <c r="F42" s="276"/>
      <c r="G42" s="276"/>
      <c r="H42" s="276"/>
      <c r="I42" s="276"/>
      <c r="J42" s="276"/>
      <c r="K42" s="276"/>
      <c r="L42" s="4"/>
      <c r="M42" s="4"/>
      <c r="N42" s="4"/>
      <c r="O42" s="4"/>
      <c r="P42" s="4"/>
      <c r="Q42" s="4"/>
      <c r="R42" s="4"/>
      <c r="S42" s="4"/>
      <c r="T42" s="4"/>
      <c r="U42" s="4"/>
      <c r="V42" s="4"/>
      <c r="W42" s="4"/>
      <c r="X42" s="4"/>
      <c r="Y42" s="4"/>
      <c r="Z42" s="4"/>
    </row>
    <row r="43" spans="1:26" ht="31.5" customHeight="1">
      <c r="A43" s="280" t="s">
        <v>373</v>
      </c>
      <c r="B43" s="276"/>
      <c r="C43" s="276"/>
      <c r="D43" s="276"/>
      <c r="E43" s="276"/>
      <c r="F43" s="276"/>
      <c r="G43" s="276"/>
      <c r="H43" s="276"/>
      <c r="I43" s="276"/>
      <c r="J43" s="276"/>
      <c r="K43" s="276"/>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285" t="s">
        <v>374</v>
      </c>
      <c r="B45" s="286"/>
      <c r="C45" s="286"/>
      <c r="D45" s="286"/>
      <c r="E45" s="286"/>
      <c r="F45" s="286"/>
      <c r="G45" s="286"/>
      <c r="H45" s="286"/>
      <c r="I45" s="286"/>
      <c r="J45" s="286"/>
      <c r="K45" s="287"/>
      <c r="L45" s="4"/>
      <c r="M45" s="4"/>
      <c r="N45" s="4"/>
      <c r="O45" s="4"/>
      <c r="P45" s="4"/>
      <c r="Q45" s="4"/>
      <c r="R45" s="4"/>
      <c r="S45" s="4"/>
      <c r="T45" s="4"/>
      <c r="U45" s="4"/>
      <c r="V45" s="4"/>
      <c r="W45" s="4"/>
      <c r="X45" s="4"/>
      <c r="Y45" s="4"/>
      <c r="Z45" s="4"/>
    </row>
    <row r="46" spans="1:26">
      <c r="A46" s="240" t="s">
        <v>375</v>
      </c>
      <c r="B46" s="240"/>
      <c r="C46" s="240"/>
      <c r="D46" s="240"/>
      <c r="E46" s="240"/>
      <c r="F46" s="240"/>
      <c r="G46" s="240"/>
      <c r="H46" s="240"/>
      <c r="I46" s="240"/>
      <c r="J46" s="240"/>
      <c r="K46" s="240"/>
      <c r="L46" s="4"/>
      <c r="M46" s="4"/>
      <c r="N46" s="4"/>
      <c r="O46" s="4"/>
      <c r="P46" s="4"/>
      <c r="Q46" s="4"/>
      <c r="R46" s="4"/>
      <c r="S46" s="4"/>
      <c r="T46" s="4"/>
      <c r="U46" s="4"/>
      <c r="V46" s="4"/>
      <c r="W46" s="4"/>
      <c r="X46" s="4"/>
      <c r="Y46" s="4"/>
      <c r="Z46" s="4"/>
    </row>
    <row r="47" spans="1:26" ht="60" customHeight="1">
      <c r="A47" s="284" t="s">
        <v>376</v>
      </c>
      <c r="B47" s="276"/>
      <c r="C47" s="276"/>
      <c r="D47" s="276"/>
      <c r="E47" s="276"/>
      <c r="F47" s="276"/>
      <c r="G47" s="276"/>
      <c r="H47" s="276"/>
      <c r="I47" s="276"/>
      <c r="J47" s="276"/>
      <c r="K47" s="276"/>
      <c r="L47" s="4"/>
      <c r="M47" s="4"/>
      <c r="N47" s="4"/>
      <c r="O47" s="4"/>
      <c r="P47" s="4"/>
      <c r="Q47" s="4"/>
      <c r="R47" s="4"/>
      <c r="S47" s="4"/>
      <c r="T47" s="4"/>
      <c r="U47" s="4"/>
      <c r="V47" s="4"/>
      <c r="W47" s="4"/>
      <c r="X47" s="4"/>
      <c r="Y47" s="4"/>
      <c r="Z47" s="4"/>
    </row>
    <row r="48" spans="1:26" ht="60.75" customHeight="1">
      <c r="A48" s="284" t="s">
        <v>377</v>
      </c>
      <c r="B48" s="276"/>
      <c r="C48" s="276"/>
      <c r="D48" s="276"/>
      <c r="E48" s="276"/>
      <c r="F48" s="276"/>
      <c r="G48" s="276"/>
      <c r="H48" s="276"/>
      <c r="I48" s="276"/>
      <c r="J48" s="276"/>
      <c r="K48" s="276"/>
      <c r="L48" s="4"/>
      <c r="M48" s="4"/>
      <c r="N48" s="4"/>
      <c r="O48" s="4"/>
      <c r="P48" s="4"/>
      <c r="Q48" s="4"/>
      <c r="R48" s="4"/>
      <c r="S48" s="4"/>
      <c r="T48" s="4"/>
      <c r="U48" s="4"/>
      <c r="V48" s="4"/>
      <c r="W48" s="4"/>
      <c r="X48" s="4"/>
      <c r="Y48" s="4"/>
      <c r="Z48" s="4"/>
    </row>
    <row r="49" spans="1:26" ht="75.75" customHeight="1">
      <c r="A49" s="284" t="s">
        <v>378</v>
      </c>
      <c r="B49" s="276"/>
      <c r="C49" s="276"/>
      <c r="D49" s="276"/>
      <c r="E49" s="276"/>
      <c r="F49" s="276"/>
      <c r="G49" s="276"/>
      <c r="H49" s="276"/>
      <c r="I49" s="276"/>
      <c r="J49" s="276"/>
      <c r="K49" s="276"/>
      <c r="L49" s="4"/>
      <c r="M49" s="4"/>
      <c r="N49" s="4"/>
      <c r="O49" s="4"/>
      <c r="P49" s="4"/>
      <c r="Q49" s="4"/>
      <c r="R49" s="4"/>
      <c r="S49" s="4"/>
      <c r="T49" s="4"/>
      <c r="U49" s="4"/>
      <c r="V49" s="4"/>
      <c r="W49" s="4"/>
      <c r="X49" s="4"/>
      <c r="Y49" s="4"/>
      <c r="Z49" s="4"/>
    </row>
    <row r="50" spans="1:26" ht="74.25" customHeight="1">
      <c r="A50" s="284" t="s">
        <v>379</v>
      </c>
      <c r="B50" s="276"/>
      <c r="C50" s="276"/>
      <c r="D50" s="276"/>
      <c r="E50" s="276"/>
      <c r="F50" s="276"/>
      <c r="G50" s="276"/>
      <c r="H50" s="276"/>
      <c r="I50" s="276"/>
      <c r="J50" s="276"/>
      <c r="K50" s="276"/>
      <c r="L50" s="4"/>
      <c r="M50" s="4"/>
      <c r="N50" s="4"/>
      <c r="O50" s="4"/>
      <c r="P50" s="4"/>
      <c r="Q50" s="4"/>
      <c r="R50" s="4"/>
      <c r="S50" s="4"/>
      <c r="T50" s="4"/>
      <c r="U50" s="4"/>
      <c r="V50" s="4"/>
      <c r="W50" s="4"/>
      <c r="X50" s="4"/>
      <c r="Y50" s="4"/>
      <c r="Z50" s="4"/>
    </row>
    <row r="51" spans="1:26" ht="45" customHeight="1">
      <c r="A51" s="295" t="s">
        <v>380</v>
      </c>
      <c r="B51" s="276"/>
      <c r="C51" s="276"/>
      <c r="D51" s="276"/>
      <c r="E51" s="276"/>
      <c r="F51" s="276"/>
      <c r="G51" s="276"/>
      <c r="H51" s="276"/>
      <c r="I51" s="276"/>
      <c r="J51" s="276"/>
      <c r="K51" s="276"/>
      <c r="L51" s="4"/>
      <c r="M51" s="4"/>
      <c r="N51" s="4"/>
      <c r="O51" s="4"/>
      <c r="P51" s="4"/>
      <c r="Q51" s="4"/>
      <c r="R51" s="4"/>
      <c r="S51" s="4"/>
      <c r="T51" s="4"/>
      <c r="U51" s="4"/>
      <c r="V51" s="4"/>
      <c r="W51" s="4"/>
      <c r="X51" s="4"/>
      <c r="Y51" s="4"/>
      <c r="Z51" s="4"/>
    </row>
    <row r="52" spans="1:26" ht="48.75" customHeight="1">
      <c r="A52" s="284" t="s">
        <v>381</v>
      </c>
      <c r="B52" s="276"/>
      <c r="C52" s="276"/>
      <c r="D52" s="276"/>
      <c r="E52" s="276"/>
      <c r="F52" s="276"/>
      <c r="G52" s="276"/>
      <c r="H52" s="276"/>
      <c r="I52" s="276"/>
      <c r="J52" s="276"/>
      <c r="K52" s="276"/>
      <c r="L52" s="4"/>
      <c r="M52" s="4"/>
      <c r="N52" s="4"/>
      <c r="O52" s="4"/>
      <c r="P52" s="4"/>
      <c r="Q52" s="4"/>
      <c r="R52" s="4"/>
      <c r="S52" s="4"/>
      <c r="T52" s="4"/>
      <c r="U52" s="4"/>
      <c r="V52" s="4"/>
      <c r="W52" s="4"/>
      <c r="X52" s="4"/>
      <c r="Y52" s="4"/>
      <c r="Z52" s="4"/>
    </row>
    <row r="53" spans="1:26" ht="60" customHeight="1">
      <c r="A53" s="284" t="s">
        <v>382</v>
      </c>
      <c r="B53" s="276"/>
      <c r="C53" s="276"/>
      <c r="D53" s="276"/>
      <c r="E53" s="276"/>
      <c r="F53" s="276"/>
      <c r="G53" s="276"/>
      <c r="H53" s="276"/>
      <c r="I53" s="276"/>
      <c r="J53" s="276"/>
      <c r="K53" s="276"/>
      <c r="L53" s="4"/>
      <c r="M53" s="4"/>
      <c r="N53" s="4"/>
      <c r="O53" s="4"/>
      <c r="P53" s="4"/>
      <c r="Q53" s="4"/>
      <c r="R53" s="4"/>
      <c r="S53" s="4"/>
      <c r="T53" s="4"/>
      <c r="U53" s="4"/>
      <c r="V53" s="4"/>
      <c r="W53" s="4"/>
      <c r="X53" s="4"/>
      <c r="Y53" s="4"/>
      <c r="Z53" s="4"/>
    </row>
    <row r="54" spans="1:26" ht="64.5" customHeight="1">
      <c r="A54" s="284" t="s">
        <v>383</v>
      </c>
      <c r="B54" s="276"/>
      <c r="C54" s="276"/>
      <c r="D54" s="276"/>
      <c r="E54" s="276"/>
      <c r="F54" s="276"/>
      <c r="G54" s="276"/>
      <c r="H54" s="276"/>
      <c r="I54" s="276"/>
      <c r="J54" s="276"/>
      <c r="K54" s="276"/>
      <c r="L54" s="4"/>
      <c r="M54" s="4"/>
      <c r="N54" s="4"/>
      <c r="O54" s="4"/>
      <c r="P54" s="4"/>
      <c r="Q54" s="4"/>
      <c r="R54" s="4"/>
      <c r="S54" s="4"/>
      <c r="T54" s="4"/>
      <c r="U54" s="4"/>
      <c r="V54" s="4"/>
      <c r="W54" s="4"/>
      <c r="X54" s="4"/>
      <c r="Y54" s="4"/>
      <c r="Z54" s="4"/>
    </row>
    <row r="55" spans="1:26">
      <c r="A55" s="284" t="s">
        <v>384</v>
      </c>
      <c r="B55" s="276"/>
      <c r="C55" s="276"/>
      <c r="D55" s="276"/>
      <c r="E55" s="276"/>
      <c r="F55" s="276"/>
      <c r="G55" s="276"/>
      <c r="H55" s="276"/>
      <c r="I55" s="276"/>
      <c r="J55" s="276"/>
      <c r="K55" s="276"/>
      <c r="L55" s="4"/>
      <c r="M55" s="4"/>
      <c r="N55" s="4"/>
      <c r="O55" s="4"/>
      <c r="P55" s="4"/>
      <c r="Q55" s="4"/>
      <c r="R55" s="4"/>
      <c r="S55" s="4"/>
      <c r="T55" s="4"/>
      <c r="U55" s="4"/>
      <c r="V55" s="4"/>
      <c r="W55" s="4"/>
      <c r="X55" s="4"/>
      <c r="Y55" s="4"/>
      <c r="Z55" s="4"/>
    </row>
    <row r="56" spans="1:26">
      <c r="A56" s="288" t="s">
        <v>385</v>
      </c>
      <c r="B56" s="276"/>
      <c r="C56" s="276"/>
      <c r="D56" s="276"/>
      <c r="E56" s="276"/>
      <c r="F56" s="276"/>
      <c r="G56" s="276"/>
      <c r="H56" s="276"/>
      <c r="I56" s="276"/>
      <c r="J56" s="276"/>
      <c r="K56" s="276"/>
      <c r="L56" s="4"/>
      <c r="M56" s="4"/>
      <c r="N56" s="4"/>
      <c r="O56" s="4"/>
      <c r="P56" s="4"/>
      <c r="Q56" s="4"/>
      <c r="R56" s="4"/>
      <c r="S56" s="4"/>
      <c r="T56" s="4"/>
      <c r="U56" s="4"/>
      <c r="V56" s="4"/>
      <c r="W56" s="4"/>
      <c r="X56" s="4"/>
      <c r="Y56" s="4"/>
      <c r="Z56" s="4"/>
    </row>
    <row r="57" spans="1:26">
      <c r="A57" s="284" t="s">
        <v>386</v>
      </c>
      <c r="B57" s="276"/>
      <c r="C57" s="276"/>
      <c r="D57" s="276"/>
      <c r="E57" s="276"/>
      <c r="F57" s="276"/>
      <c r="G57" s="276"/>
      <c r="H57" s="276"/>
      <c r="I57" s="276"/>
      <c r="J57" s="276"/>
      <c r="K57" s="276"/>
      <c r="L57" s="4"/>
      <c r="M57" s="4"/>
      <c r="N57" s="4"/>
      <c r="O57" s="4"/>
      <c r="P57" s="4"/>
      <c r="Q57" s="4"/>
      <c r="R57" s="4"/>
      <c r="S57" s="4"/>
      <c r="T57" s="4"/>
      <c r="U57" s="4"/>
      <c r="V57" s="4"/>
      <c r="W57" s="4"/>
      <c r="X57" s="4"/>
      <c r="Y57" s="4"/>
      <c r="Z57" s="4"/>
    </row>
    <row r="58" spans="1:26">
      <c r="A58" s="288" t="s">
        <v>387</v>
      </c>
      <c r="B58" s="276"/>
      <c r="C58" s="276"/>
      <c r="D58" s="276"/>
      <c r="E58" s="276"/>
      <c r="F58" s="276"/>
      <c r="G58" s="276"/>
      <c r="H58" s="276"/>
      <c r="I58" s="276"/>
      <c r="J58" s="276"/>
      <c r="K58" s="276"/>
      <c r="L58" s="4"/>
      <c r="M58" s="4"/>
      <c r="N58" s="4"/>
      <c r="O58" s="4"/>
      <c r="P58" s="4"/>
      <c r="Q58" s="4"/>
      <c r="R58" s="4"/>
      <c r="S58" s="4"/>
      <c r="T58" s="4"/>
      <c r="U58" s="4"/>
      <c r="V58" s="4"/>
      <c r="W58" s="4"/>
      <c r="X58" s="4"/>
      <c r="Y58" s="4"/>
      <c r="Z58" s="4"/>
    </row>
    <row r="59" spans="1:26">
      <c r="A59" s="241"/>
      <c r="B59" s="241"/>
      <c r="C59" s="241"/>
      <c r="D59" s="241"/>
      <c r="E59" s="241"/>
      <c r="F59" s="241"/>
      <c r="G59" s="241"/>
      <c r="H59" s="241"/>
      <c r="I59" s="241"/>
      <c r="J59" s="241"/>
      <c r="K59" s="241"/>
      <c r="L59" s="4"/>
      <c r="M59" s="4"/>
      <c r="N59" s="4"/>
      <c r="O59" s="4"/>
      <c r="P59" s="4"/>
      <c r="Q59" s="4"/>
      <c r="R59" s="4"/>
      <c r="S59" s="4"/>
      <c r="T59" s="4"/>
      <c r="U59" s="4"/>
      <c r="V59" s="4"/>
      <c r="W59" s="4"/>
      <c r="X59" s="4"/>
      <c r="Y59" s="4"/>
      <c r="Z59" s="4"/>
    </row>
    <row r="60" spans="1:26">
      <c r="A60" s="242" t="s">
        <v>388</v>
      </c>
      <c r="B60" s="242"/>
      <c r="C60" s="242"/>
      <c r="D60" s="242"/>
      <c r="E60" s="242"/>
      <c r="F60" s="242"/>
      <c r="G60" s="242"/>
      <c r="H60" s="242"/>
      <c r="I60" s="242"/>
      <c r="J60" s="242"/>
      <c r="K60" s="242"/>
      <c r="L60" s="4"/>
      <c r="M60" s="4"/>
      <c r="N60" s="4"/>
      <c r="O60" s="4"/>
      <c r="P60" s="4"/>
      <c r="Q60" s="4"/>
      <c r="R60" s="4"/>
      <c r="S60" s="4"/>
      <c r="T60" s="4"/>
      <c r="U60" s="4"/>
      <c r="V60" s="4"/>
      <c r="W60" s="4"/>
      <c r="X60" s="4"/>
      <c r="Y60" s="4"/>
      <c r="Z60" s="4"/>
    </row>
    <row r="61" spans="1:26" ht="28.5" customHeight="1">
      <c r="A61" s="289" t="s">
        <v>389</v>
      </c>
      <c r="B61" s="276"/>
      <c r="C61" s="276"/>
      <c r="D61" s="276"/>
      <c r="E61" s="276"/>
      <c r="F61" s="276"/>
      <c r="G61" s="276"/>
      <c r="H61" s="276"/>
      <c r="I61" s="276"/>
      <c r="J61" s="276"/>
      <c r="K61" s="276"/>
      <c r="L61" s="4"/>
      <c r="M61" s="4"/>
      <c r="N61" s="4"/>
      <c r="O61" s="4"/>
      <c r="P61" s="4"/>
      <c r="Q61" s="4"/>
      <c r="R61" s="4"/>
      <c r="S61" s="4"/>
      <c r="T61" s="4"/>
      <c r="U61" s="4"/>
      <c r="V61" s="4"/>
      <c r="W61" s="4"/>
      <c r="X61" s="4"/>
      <c r="Y61" s="4"/>
      <c r="Z61" s="4"/>
    </row>
    <row r="62" spans="1:26" ht="30.75" customHeight="1">
      <c r="A62" s="289" t="s">
        <v>390</v>
      </c>
      <c r="B62" s="276"/>
      <c r="C62" s="276"/>
      <c r="D62" s="276"/>
      <c r="E62" s="276"/>
      <c r="F62" s="276"/>
      <c r="G62" s="276"/>
      <c r="H62" s="276"/>
      <c r="I62" s="276"/>
      <c r="J62" s="276"/>
      <c r="K62" s="276"/>
      <c r="L62" s="4"/>
      <c r="M62" s="4"/>
      <c r="N62" s="4"/>
      <c r="O62" s="4"/>
      <c r="P62" s="4"/>
      <c r="Q62" s="4"/>
      <c r="R62" s="4"/>
      <c r="S62" s="4"/>
      <c r="T62" s="4"/>
      <c r="U62" s="4"/>
      <c r="V62" s="4"/>
      <c r="W62" s="4"/>
      <c r="X62" s="4"/>
      <c r="Y62" s="4"/>
      <c r="Z62" s="4"/>
    </row>
    <row r="63" spans="1:26" ht="30.75" customHeight="1">
      <c r="A63" s="289" t="s">
        <v>391</v>
      </c>
      <c r="B63" s="276"/>
      <c r="C63" s="276"/>
      <c r="D63" s="276"/>
      <c r="E63" s="276"/>
      <c r="F63" s="276"/>
      <c r="G63" s="276"/>
      <c r="H63" s="276"/>
      <c r="I63" s="276"/>
      <c r="J63" s="276"/>
      <c r="K63" s="276"/>
      <c r="L63" s="4"/>
      <c r="M63" s="4"/>
      <c r="N63" s="4"/>
      <c r="O63" s="4"/>
      <c r="P63" s="4"/>
      <c r="Q63" s="4"/>
      <c r="R63" s="4"/>
      <c r="S63" s="4"/>
      <c r="T63" s="4"/>
      <c r="U63" s="4"/>
      <c r="V63" s="4"/>
      <c r="W63" s="4"/>
      <c r="X63" s="4"/>
      <c r="Y63" s="4"/>
      <c r="Z63" s="4"/>
    </row>
    <row r="64" spans="1:26" ht="30" customHeight="1">
      <c r="A64" s="289" t="s">
        <v>392</v>
      </c>
      <c r="B64" s="276"/>
      <c r="C64" s="276"/>
      <c r="D64" s="276"/>
      <c r="E64" s="276"/>
      <c r="F64" s="276"/>
      <c r="G64" s="276"/>
      <c r="H64" s="276"/>
      <c r="I64" s="276"/>
      <c r="J64" s="276"/>
      <c r="K64" s="276"/>
      <c r="L64" s="4"/>
      <c r="M64" s="4"/>
      <c r="N64" s="4"/>
      <c r="O64" s="4"/>
      <c r="P64" s="4"/>
      <c r="Q64" s="4"/>
      <c r="R64" s="4"/>
      <c r="S64" s="4"/>
      <c r="T64" s="4"/>
      <c r="U64" s="4"/>
      <c r="V64" s="4"/>
      <c r="W64" s="4"/>
      <c r="X64" s="4"/>
      <c r="Y64" s="4"/>
      <c r="Z64" s="4"/>
    </row>
    <row r="65" spans="1:26" ht="29.25" customHeight="1">
      <c r="A65" s="289" t="s">
        <v>393</v>
      </c>
      <c r="B65" s="276"/>
      <c r="C65" s="276"/>
      <c r="D65" s="276"/>
      <c r="E65" s="276"/>
      <c r="F65" s="276"/>
      <c r="G65" s="276"/>
      <c r="H65" s="276"/>
      <c r="I65" s="276"/>
      <c r="J65" s="276"/>
      <c r="K65" s="276"/>
      <c r="L65" s="4"/>
      <c r="M65" s="4"/>
      <c r="N65" s="4"/>
      <c r="O65" s="4"/>
      <c r="P65" s="4"/>
      <c r="Q65" s="4"/>
      <c r="R65" s="4"/>
      <c r="S65" s="4"/>
      <c r="T65" s="4"/>
      <c r="U65" s="4"/>
      <c r="V65" s="4"/>
      <c r="W65" s="4"/>
      <c r="X65" s="4"/>
      <c r="Y65" s="4"/>
      <c r="Z65" s="4"/>
    </row>
    <row r="66" spans="1:26" ht="30.75" customHeight="1">
      <c r="A66" s="289" t="s">
        <v>394</v>
      </c>
      <c r="B66" s="276"/>
      <c r="C66" s="276"/>
      <c r="D66" s="276"/>
      <c r="E66" s="276"/>
      <c r="F66" s="276"/>
      <c r="G66" s="276"/>
      <c r="H66" s="276"/>
      <c r="I66" s="276"/>
      <c r="J66" s="276"/>
      <c r="K66" s="276"/>
      <c r="L66" s="4"/>
      <c r="M66" s="4"/>
      <c r="N66" s="4"/>
      <c r="O66" s="4"/>
      <c r="P66" s="4"/>
      <c r="Q66" s="4"/>
      <c r="R66" s="4"/>
      <c r="S66" s="4"/>
      <c r="T66" s="4"/>
      <c r="U66" s="4"/>
      <c r="V66" s="4"/>
      <c r="W66" s="4"/>
      <c r="X66" s="4"/>
      <c r="Y66" s="4"/>
      <c r="Z66" s="4"/>
    </row>
    <row r="67" spans="1:26" ht="20.25" customHeight="1">
      <c r="A67" s="290" t="s">
        <v>395</v>
      </c>
      <c r="B67" s="276"/>
      <c r="C67" s="276"/>
      <c r="D67" s="276"/>
      <c r="E67" s="276"/>
      <c r="F67" s="276"/>
      <c r="G67" s="276"/>
      <c r="H67" s="276"/>
      <c r="I67" s="276"/>
      <c r="J67" s="276"/>
      <c r="K67" s="276"/>
      <c r="L67" s="4"/>
      <c r="M67" s="4"/>
      <c r="N67" s="4"/>
      <c r="O67" s="4"/>
      <c r="P67" s="4"/>
      <c r="Q67" s="4"/>
      <c r="R67" s="4"/>
      <c r="S67" s="4"/>
      <c r="T67" s="4"/>
      <c r="U67" s="4"/>
      <c r="V67" s="4"/>
      <c r="W67" s="4"/>
      <c r="X67" s="4"/>
      <c r="Y67" s="4"/>
      <c r="Z67" s="4"/>
    </row>
    <row r="68" spans="1:26" ht="29.25" customHeight="1">
      <c r="A68" s="289" t="s">
        <v>396</v>
      </c>
      <c r="B68" s="276"/>
      <c r="C68" s="276"/>
      <c r="D68" s="276"/>
      <c r="E68" s="276"/>
      <c r="F68" s="276"/>
      <c r="G68" s="276"/>
      <c r="H68" s="276"/>
      <c r="I68" s="276"/>
      <c r="J68" s="276"/>
      <c r="K68" s="276"/>
      <c r="L68" s="4"/>
      <c r="M68" s="4"/>
      <c r="N68" s="4"/>
      <c r="O68" s="4"/>
      <c r="P68" s="4"/>
      <c r="Q68" s="4"/>
      <c r="R68" s="4"/>
      <c r="S68" s="4"/>
      <c r="T68" s="4"/>
      <c r="U68" s="4"/>
      <c r="V68" s="4"/>
      <c r="W68" s="4"/>
      <c r="X68" s="4"/>
      <c r="Y68" s="4"/>
      <c r="Z68" s="4"/>
    </row>
    <row r="69" spans="1:26" ht="45.75" customHeight="1">
      <c r="A69" s="289" t="s">
        <v>397</v>
      </c>
      <c r="B69" s="276"/>
      <c r="C69" s="276"/>
      <c r="D69" s="276"/>
      <c r="E69" s="276"/>
      <c r="F69" s="276"/>
      <c r="G69" s="276"/>
      <c r="H69" s="276"/>
      <c r="I69" s="276"/>
      <c r="J69" s="276"/>
      <c r="K69" s="276"/>
      <c r="L69" s="4"/>
      <c r="M69" s="4"/>
      <c r="N69" s="4"/>
      <c r="O69" s="4"/>
      <c r="P69" s="4"/>
      <c r="Q69" s="4"/>
      <c r="R69" s="4"/>
      <c r="S69" s="4"/>
      <c r="T69" s="4"/>
      <c r="U69" s="4"/>
      <c r="V69" s="4"/>
      <c r="W69" s="4"/>
      <c r="X69" s="4"/>
      <c r="Y69" s="4"/>
      <c r="Z69" s="4"/>
    </row>
    <row r="70" spans="1:26">
      <c r="A70" s="290" t="s">
        <v>398</v>
      </c>
      <c r="B70" s="276"/>
      <c r="C70" s="276"/>
      <c r="D70" s="276"/>
      <c r="E70" s="276"/>
      <c r="F70" s="276"/>
      <c r="G70" s="276"/>
      <c r="H70" s="276"/>
      <c r="I70" s="276"/>
      <c r="J70" s="276"/>
      <c r="K70" s="276"/>
      <c r="L70" s="4"/>
      <c r="M70" s="4"/>
      <c r="N70" s="4"/>
      <c r="O70" s="4"/>
      <c r="P70" s="4"/>
      <c r="Q70" s="4"/>
      <c r="R70" s="4"/>
      <c r="S70" s="4"/>
      <c r="T70" s="4"/>
      <c r="U70" s="4"/>
      <c r="V70" s="4"/>
      <c r="W70" s="4"/>
      <c r="X70" s="4"/>
      <c r="Y70" s="4"/>
      <c r="Z70" s="4"/>
    </row>
    <row r="71" spans="1:26">
      <c r="A71" s="243"/>
      <c r="B71" s="243"/>
      <c r="C71" s="243"/>
      <c r="D71" s="243"/>
      <c r="E71" s="243"/>
      <c r="F71" s="243"/>
      <c r="G71" s="243"/>
      <c r="H71" s="243"/>
      <c r="I71" s="243"/>
      <c r="J71" s="243"/>
      <c r="K71" s="243"/>
      <c r="L71" s="4"/>
      <c r="M71" s="4"/>
      <c r="N71" s="4"/>
      <c r="O71" s="4"/>
      <c r="P71" s="4"/>
      <c r="Q71" s="4"/>
      <c r="R71" s="4"/>
      <c r="S71" s="4"/>
      <c r="T71" s="4"/>
      <c r="U71" s="4"/>
      <c r="V71" s="4"/>
      <c r="W71" s="4"/>
      <c r="X71" s="4"/>
      <c r="Y71" s="4"/>
      <c r="Z71" s="4"/>
    </row>
    <row r="72" spans="1:26">
      <c r="A72" s="242" t="s">
        <v>399</v>
      </c>
      <c r="B72" s="242"/>
      <c r="C72" s="242"/>
      <c r="D72" s="242"/>
      <c r="E72" s="242"/>
      <c r="F72" s="242"/>
      <c r="G72" s="242"/>
      <c r="H72" s="242"/>
      <c r="I72" s="242"/>
      <c r="J72" s="242"/>
      <c r="K72" s="242"/>
      <c r="L72" s="4"/>
      <c r="M72" s="4"/>
      <c r="N72" s="4"/>
      <c r="O72" s="4"/>
      <c r="P72" s="4"/>
      <c r="Q72" s="4"/>
      <c r="R72" s="4"/>
      <c r="S72" s="4"/>
      <c r="T72" s="4"/>
      <c r="U72" s="4"/>
      <c r="V72" s="4"/>
      <c r="W72" s="4"/>
      <c r="X72" s="4"/>
      <c r="Y72" s="4"/>
      <c r="Z72" s="4"/>
    </row>
    <row r="73" spans="1:26">
      <c r="A73" s="244" t="s">
        <v>400</v>
      </c>
      <c r="B73" s="244"/>
      <c r="C73" s="244"/>
      <c r="D73" s="244"/>
      <c r="E73" s="244"/>
      <c r="F73" s="244"/>
      <c r="G73" s="244"/>
      <c r="H73" s="244"/>
      <c r="I73" s="244"/>
      <c r="J73" s="244"/>
      <c r="K73" s="244"/>
      <c r="L73" s="4"/>
      <c r="M73" s="4"/>
      <c r="N73" s="4"/>
      <c r="O73" s="4"/>
      <c r="P73" s="4"/>
      <c r="Q73" s="4"/>
      <c r="R73" s="4"/>
      <c r="S73" s="4"/>
      <c r="T73" s="4"/>
      <c r="U73" s="4"/>
      <c r="V73" s="4"/>
      <c r="W73" s="4"/>
      <c r="X73" s="4"/>
      <c r="Y73" s="4"/>
      <c r="Z73" s="4"/>
    </row>
    <row r="74" spans="1:26" ht="46.5" customHeight="1">
      <c r="A74" s="284" t="s">
        <v>401</v>
      </c>
      <c r="B74" s="276"/>
      <c r="C74" s="276"/>
      <c r="D74" s="276"/>
      <c r="E74" s="276"/>
      <c r="F74" s="276"/>
      <c r="G74" s="276"/>
      <c r="H74" s="276"/>
      <c r="I74" s="276"/>
      <c r="J74" s="276"/>
      <c r="K74" s="276"/>
      <c r="L74" s="4"/>
      <c r="M74" s="4"/>
      <c r="N74" s="4"/>
      <c r="O74" s="4"/>
      <c r="P74" s="4"/>
      <c r="Q74" s="4"/>
      <c r="R74" s="4"/>
      <c r="S74" s="4"/>
      <c r="T74" s="4"/>
      <c r="U74" s="4"/>
      <c r="V74" s="4"/>
      <c r="W74" s="4"/>
      <c r="X74" s="4"/>
      <c r="Y74" s="4"/>
      <c r="Z74" s="4"/>
    </row>
    <row r="75" spans="1:26">
      <c r="A75" s="244" t="s">
        <v>402</v>
      </c>
      <c r="B75" s="244"/>
      <c r="C75" s="244"/>
      <c r="D75" s="244"/>
      <c r="E75" s="244"/>
      <c r="F75" s="244"/>
      <c r="G75" s="244"/>
      <c r="H75" s="244"/>
      <c r="I75" s="244"/>
      <c r="J75" s="244"/>
      <c r="K75" s="244"/>
      <c r="L75" s="4"/>
      <c r="M75" s="4"/>
      <c r="N75" s="4"/>
      <c r="O75" s="4"/>
      <c r="P75" s="4"/>
      <c r="Q75" s="4"/>
      <c r="R75" s="4"/>
      <c r="S75" s="4"/>
      <c r="T75" s="4"/>
      <c r="U75" s="4"/>
      <c r="V75" s="4"/>
      <c r="W75" s="4"/>
      <c r="X75" s="4"/>
      <c r="Y75" s="4"/>
      <c r="Z75" s="4"/>
    </row>
    <row r="76" spans="1:26">
      <c r="A76" s="244" t="s">
        <v>403</v>
      </c>
      <c r="B76" s="244"/>
      <c r="C76" s="244"/>
      <c r="D76" s="244"/>
      <c r="E76" s="244"/>
      <c r="F76" s="244"/>
      <c r="G76" s="244"/>
      <c r="H76" s="244"/>
      <c r="I76" s="244"/>
      <c r="J76" s="244"/>
      <c r="K76" s="244"/>
      <c r="L76" s="4"/>
      <c r="M76" s="4"/>
      <c r="N76" s="4"/>
      <c r="O76" s="4"/>
      <c r="P76" s="4"/>
      <c r="Q76" s="4"/>
      <c r="R76" s="4"/>
      <c r="S76" s="4"/>
      <c r="T76" s="4"/>
      <c r="U76" s="4"/>
      <c r="V76" s="4"/>
      <c r="W76" s="4"/>
      <c r="X76" s="4"/>
      <c r="Y76" s="4"/>
      <c r="Z76" s="4"/>
    </row>
    <row r="77" spans="1:26">
      <c r="A77" s="244" t="s">
        <v>404</v>
      </c>
      <c r="B77" s="244"/>
      <c r="C77" s="244"/>
      <c r="D77" s="244"/>
      <c r="E77" s="244"/>
      <c r="F77" s="244"/>
      <c r="G77" s="244"/>
      <c r="H77" s="244"/>
      <c r="I77" s="244"/>
      <c r="J77" s="244"/>
      <c r="K77" s="244"/>
      <c r="L77" s="4"/>
      <c r="M77" s="4"/>
      <c r="N77" s="4"/>
      <c r="O77" s="4"/>
      <c r="P77" s="4"/>
      <c r="Q77" s="4"/>
      <c r="R77" s="4"/>
      <c r="S77" s="4"/>
      <c r="T77" s="4"/>
      <c r="U77" s="4"/>
      <c r="V77" s="4"/>
      <c r="W77" s="4"/>
      <c r="X77" s="4"/>
      <c r="Y77" s="4"/>
      <c r="Z77" s="4"/>
    </row>
    <row r="78" spans="1:26">
      <c r="A78" s="244" t="s">
        <v>405</v>
      </c>
      <c r="B78" s="244"/>
      <c r="C78" s="244"/>
      <c r="D78" s="244"/>
      <c r="E78" s="244"/>
      <c r="F78" s="244"/>
      <c r="G78" s="244"/>
      <c r="H78" s="244"/>
      <c r="I78" s="244"/>
      <c r="J78" s="244"/>
      <c r="K78" s="244"/>
      <c r="L78" s="4"/>
      <c r="M78" s="4"/>
      <c r="N78" s="4"/>
      <c r="O78" s="4"/>
      <c r="P78" s="4"/>
      <c r="Q78" s="4"/>
      <c r="R78" s="4"/>
      <c r="S78" s="4"/>
      <c r="T78" s="4"/>
      <c r="U78" s="4"/>
      <c r="V78" s="4"/>
      <c r="W78" s="4"/>
      <c r="X78" s="4"/>
      <c r="Y78" s="4"/>
      <c r="Z78" s="4"/>
    </row>
    <row r="79" spans="1:26">
      <c r="A79" s="244" t="s">
        <v>406</v>
      </c>
      <c r="B79" s="244"/>
      <c r="C79" s="244"/>
      <c r="D79" s="244"/>
      <c r="E79" s="244"/>
      <c r="F79" s="244"/>
      <c r="G79" s="244"/>
      <c r="H79" s="244"/>
      <c r="I79" s="244"/>
      <c r="J79" s="244"/>
      <c r="K79" s="244"/>
      <c r="L79" s="4"/>
      <c r="M79" s="4"/>
      <c r="N79" s="4"/>
      <c r="O79" s="4"/>
      <c r="P79" s="4"/>
      <c r="Q79" s="4"/>
      <c r="R79" s="4"/>
      <c r="S79" s="4"/>
      <c r="T79" s="4"/>
      <c r="U79" s="4"/>
      <c r="V79" s="4"/>
      <c r="W79" s="4"/>
      <c r="X79" s="4"/>
      <c r="Y79" s="4"/>
      <c r="Z79" s="4"/>
    </row>
    <row r="80" spans="1:26">
      <c r="A80" s="244" t="s">
        <v>407</v>
      </c>
      <c r="B80" s="244"/>
      <c r="C80" s="244"/>
      <c r="D80" s="244"/>
      <c r="E80" s="244"/>
      <c r="F80" s="244"/>
      <c r="G80" s="244"/>
      <c r="H80" s="244"/>
      <c r="I80" s="244"/>
      <c r="J80" s="244"/>
      <c r="K80" s="244"/>
      <c r="L80" s="4"/>
      <c r="M80" s="4"/>
      <c r="N80" s="4"/>
      <c r="O80" s="4"/>
      <c r="P80" s="4"/>
      <c r="Q80" s="4"/>
      <c r="R80" s="4"/>
      <c r="S80" s="4"/>
      <c r="T80" s="4"/>
      <c r="U80" s="4"/>
      <c r="V80" s="4"/>
      <c r="W80" s="4"/>
      <c r="X80" s="4"/>
      <c r="Y80" s="4"/>
      <c r="Z80" s="4"/>
    </row>
    <row r="81" spans="1:26">
      <c r="A81" s="244" t="s">
        <v>408</v>
      </c>
      <c r="B81" s="244"/>
      <c r="C81" s="244"/>
      <c r="D81" s="244"/>
      <c r="E81" s="244"/>
      <c r="F81" s="244"/>
      <c r="G81" s="244"/>
      <c r="H81" s="244"/>
      <c r="I81" s="244"/>
      <c r="J81" s="244"/>
      <c r="K81" s="244"/>
      <c r="L81" s="4"/>
      <c r="M81" s="4"/>
      <c r="N81" s="4"/>
      <c r="O81" s="4"/>
      <c r="P81" s="4"/>
      <c r="Q81" s="4"/>
      <c r="R81" s="4"/>
      <c r="S81" s="4"/>
      <c r="T81" s="4"/>
      <c r="U81" s="4"/>
      <c r="V81" s="4"/>
      <c r="W81" s="4"/>
      <c r="X81" s="4"/>
      <c r="Y81" s="4"/>
      <c r="Z81" s="4"/>
    </row>
    <row r="82" spans="1:26">
      <c r="A82" s="244" t="s">
        <v>409</v>
      </c>
      <c r="B82" s="244"/>
      <c r="C82" s="244"/>
      <c r="D82" s="244"/>
      <c r="E82" s="244"/>
      <c r="F82" s="244"/>
      <c r="G82" s="244"/>
      <c r="H82" s="244"/>
      <c r="I82" s="244"/>
      <c r="J82" s="244"/>
      <c r="K82" s="244"/>
      <c r="L82" s="4"/>
      <c r="M82" s="4"/>
      <c r="N82" s="4"/>
      <c r="O82" s="4"/>
      <c r="P82" s="4"/>
      <c r="Q82" s="4"/>
      <c r="R82" s="4"/>
      <c r="S82" s="4"/>
      <c r="T82" s="4"/>
      <c r="U82" s="4"/>
      <c r="V82" s="4"/>
      <c r="W82" s="4"/>
      <c r="X82" s="4"/>
      <c r="Y82" s="4"/>
      <c r="Z82" s="4"/>
    </row>
    <row r="83" spans="1:26">
      <c r="A83" s="244" t="s">
        <v>410</v>
      </c>
      <c r="B83" s="244"/>
      <c r="C83" s="244"/>
      <c r="D83" s="244"/>
      <c r="E83" s="244"/>
      <c r="F83" s="244"/>
      <c r="G83" s="244"/>
      <c r="H83" s="244"/>
      <c r="I83" s="244"/>
      <c r="J83" s="244"/>
      <c r="K83" s="244"/>
      <c r="L83" s="4"/>
      <c r="M83" s="4"/>
      <c r="N83" s="4"/>
      <c r="O83" s="4"/>
      <c r="P83" s="4"/>
      <c r="Q83" s="4"/>
      <c r="R83" s="4"/>
      <c r="S83" s="4"/>
      <c r="T83" s="4"/>
      <c r="U83" s="4"/>
      <c r="V83" s="4"/>
      <c r="W83" s="4"/>
      <c r="X83" s="4"/>
      <c r="Y83" s="4"/>
      <c r="Z83" s="4"/>
    </row>
    <row r="84" spans="1:26">
      <c r="A84" s="245" t="s">
        <v>411</v>
      </c>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t="s">
        <v>140</v>
      </c>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8">
    <mergeCell ref="A1:K1"/>
    <mergeCell ref="A10:K10"/>
    <mergeCell ref="A18:K18"/>
    <mergeCell ref="A54:K54"/>
    <mergeCell ref="A53:K53"/>
    <mergeCell ref="A8:K8"/>
    <mergeCell ref="A9:K9"/>
    <mergeCell ref="A13:K13"/>
    <mergeCell ref="A16:K16"/>
    <mergeCell ref="A15:K15"/>
    <mergeCell ref="A14:K14"/>
    <mergeCell ref="A51:K51"/>
    <mergeCell ref="A52:K52"/>
    <mergeCell ref="A17:K17"/>
    <mergeCell ref="A19:K19"/>
    <mergeCell ref="A20:K20"/>
    <mergeCell ref="A2:K2"/>
    <mergeCell ref="A6:K6"/>
    <mergeCell ref="A22:K22"/>
    <mergeCell ref="A25:K25"/>
    <mergeCell ref="A26:K26"/>
    <mergeCell ref="A24:K24"/>
    <mergeCell ref="A11:K11"/>
    <mergeCell ref="A21:K21"/>
    <mergeCell ref="A74:K74"/>
    <mergeCell ref="A66:K66"/>
    <mergeCell ref="A67:K67"/>
    <mergeCell ref="A68:K68"/>
    <mergeCell ref="A69:K69"/>
    <mergeCell ref="A70:K70"/>
    <mergeCell ref="A56:K56"/>
    <mergeCell ref="A58:K58"/>
    <mergeCell ref="A61:K61"/>
    <mergeCell ref="A64:K64"/>
    <mergeCell ref="A65:K65"/>
    <mergeCell ref="A57:K57"/>
    <mergeCell ref="A62:K62"/>
    <mergeCell ref="A63:K63"/>
    <mergeCell ref="A47:K47"/>
    <mergeCell ref="A45:K45"/>
    <mergeCell ref="A42:K42"/>
    <mergeCell ref="A43:K43"/>
    <mergeCell ref="A55:K55"/>
    <mergeCell ref="A50:K50"/>
    <mergeCell ref="A48:K48"/>
    <mergeCell ref="A49:K49"/>
    <mergeCell ref="A28:K28"/>
    <mergeCell ref="A29:K29"/>
    <mergeCell ref="A30:K30"/>
    <mergeCell ref="A32:K32"/>
    <mergeCell ref="A37:K37"/>
    <mergeCell ref="A34:K34"/>
    <mergeCell ref="A39:K39"/>
    <mergeCell ref="A38:K38"/>
    <mergeCell ref="A36:K36"/>
    <mergeCell ref="A35:K35"/>
    <mergeCell ref="A41:K41"/>
    <mergeCell ref="A40:K40"/>
  </mergeCells>
  <hyperlinks>
    <hyperlink ref="A56" r:id="rId1" xr:uid="{00000000-0004-0000-0000-000000000000}"/>
    <hyperlink ref="A58" r:id="rId2" xr:uid="{00000000-0004-0000-0000-000001000000}"/>
    <hyperlink ref="A84"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5" topLeftCell="A6" activePane="bottomLeft" state="frozen"/>
      <selection pane="bottomLeft" activeCell="B7" sqref="B7"/>
    </sheetView>
  </sheetViews>
  <sheetFormatPr defaultColWidth="14.42578125" defaultRowHeight="15" customHeight="1"/>
  <cols>
    <col min="1" max="1" width="71.28515625" customWidth="1"/>
    <col min="2" max="2" width="14.28515625" customWidth="1"/>
    <col min="3" max="24" width="9.140625" customWidth="1"/>
    <col min="25" max="26" width="8.7109375" customWidth="1"/>
  </cols>
  <sheetData>
    <row r="1" spans="1:26" ht="18.75">
      <c r="A1" s="322" t="str">
        <f>TEXT(Assumptions!A1,1)</f>
        <v>Leman Academy of Excellence</v>
      </c>
      <c r="B1" s="297"/>
      <c r="C1" s="80"/>
      <c r="D1" s="80"/>
      <c r="E1" s="80"/>
      <c r="F1" s="80"/>
      <c r="G1" s="80"/>
      <c r="H1" s="80"/>
      <c r="I1" s="80"/>
      <c r="J1" s="80"/>
      <c r="K1" s="80"/>
      <c r="L1" s="80"/>
      <c r="M1" s="80"/>
      <c r="N1" s="80"/>
      <c r="O1" s="80"/>
      <c r="P1" s="80"/>
      <c r="Q1" s="80"/>
      <c r="R1" s="80"/>
      <c r="S1" s="80"/>
      <c r="T1" s="80"/>
      <c r="U1" s="80"/>
      <c r="V1" s="80"/>
      <c r="W1" s="80"/>
      <c r="X1" s="80"/>
      <c r="Y1" s="80"/>
      <c r="Z1" s="80"/>
    </row>
    <row r="2" spans="1:26" ht="18.75">
      <c r="A2" s="323" t="s">
        <v>412</v>
      </c>
      <c r="B2" s="305"/>
      <c r="C2" s="80"/>
      <c r="D2" s="80"/>
      <c r="E2" s="80"/>
      <c r="F2" s="80"/>
      <c r="G2" s="80"/>
      <c r="H2" s="80"/>
      <c r="I2" s="80"/>
      <c r="J2" s="80"/>
      <c r="K2" s="80"/>
      <c r="L2" s="80"/>
      <c r="M2" s="80"/>
      <c r="N2" s="80"/>
      <c r="O2" s="80"/>
      <c r="P2" s="80"/>
      <c r="Q2" s="80"/>
      <c r="R2" s="80"/>
      <c r="S2" s="80"/>
      <c r="T2" s="80"/>
      <c r="U2" s="80"/>
      <c r="V2" s="80"/>
      <c r="W2" s="80"/>
      <c r="X2" s="80"/>
      <c r="Y2" s="80"/>
      <c r="Z2" s="80"/>
    </row>
    <row r="3" spans="1:26" ht="18.75">
      <c r="A3" s="81" t="s">
        <v>20</v>
      </c>
      <c r="B3" s="82">
        <f>Assumptions!G21</f>
        <v>1067.5</v>
      </c>
      <c r="C3" s="80"/>
      <c r="D3" s="80"/>
      <c r="E3" s="80"/>
      <c r="F3" s="80"/>
      <c r="G3" s="80"/>
      <c r="H3" s="80"/>
      <c r="I3" s="80"/>
      <c r="J3" s="80"/>
      <c r="K3" s="80"/>
      <c r="L3" s="80"/>
      <c r="M3" s="80"/>
      <c r="N3" s="80"/>
      <c r="O3" s="80"/>
      <c r="P3" s="80"/>
      <c r="Q3" s="80"/>
      <c r="R3" s="80"/>
      <c r="S3" s="80"/>
      <c r="T3" s="80"/>
      <c r="U3" s="80"/>
      <c r="V3" s="80"/>
      <c r="W3" s="80"/>
      <c r="X3" s="80"/>
      <c r="Y3" s="80"/>
      <c r="Z3" s="80"/>
    </row>
    <row r="4" spans="1:26">
      <c r="A4" s="81" t="s">
        <v>142</v>
      </c>
      <c r="B4" s="82">
        <f>Assumptions!G22</f>
        <v>1077.5</v>
      </c>
      <c r="C4" s="4"/>
      <c r="D4" s="4"/>
      <c r="E4" s="4"/>
      <c r="F4" s="4"/>
      <c r="G4" s="4"/>
      <c r="H4" s="4"/>
      <c r="I4" s="4"/>
      <c r="J4" s="4"/>
      <c r="K4" s="4"/>
      <c r="L4" s="4"/>
      <c r="M4" s="4"/>
      <c r="N4" s="4"/>
      <c r="O4" s="4"/>
      <c r="P4" s="4"/>
      <c r="Q4" s="4"/>
      <c r="R4" s="4"/>
      <c r="S4" s="4"/>
      <c r="T4" s="4"/>
      <c r="U4" s="4"/>
      <c r="V4" s="4"/>
      <c r="W4" s="4"/>
      <c r="X4" s="4"/>
      <c r="Y4" s="4"/>
      <c r="Z4" s="4"/>
    </row>
    <row r="5" spans="1:26" ht="15.75">
      <c r="A5" s="83"/>
      <c r="B5" s="84" t="s">
        <v>143</v>
      </c>
      <c r="C5" s="4"/>
      <c r="D5" s="4"/>
      <c r="E5" s="4"/>
      <c r="F5" s="4"/>
      <c r="G5" s="4"/>
      <c r="H5" s="4"/>
      <c r="I5" s="4"/>
      <c r="J5" s="4"/>
      <c r="K5" s="4"/>
      <c r="L5" s="4"/>
      <c r="M5" s="4"/>
      <c r="N5" s="4"/>
      <c r="O5" s="4"/>
      <c r="P5" s="4"/>
      <c r="Q5" s="4"/>
      <c r="R5" s="4"/>
      <c r="S5" s="4"/>
      <c r="T5" s="4"/>
      <c r="U5" s="4"/>
      <c r="V5" s="4"/>
      <c r="W5" s="4"/>
      <c r="X5" s="4"/>
      <c r="Y5" s="4"/>
      <c r="Z5" s="4"/>
    </row>
    <row r="6" spans="1:26" ht="18.75">
      <c r="A6" s="324" t="s">
        <v>144</v>
      </c>
      <c r="B6" s="312"/>
      <c r="C6" s="4"/>
      <c r="D6" s="4"/>
      <c r="E6" s="4"/>
      <c r="F6" s="4"/>
      <c r="G6" s="4"/>
      <c r="H6" s="4"/>
      <c r="I6" s="4"/>
      <c r="J6" s="4"/>
      <c r="K6" s="4"/>
      <c r="L6" s="4"/>
      <c r="M6" s="4"/>
      <c r="N6" s="4"/>
      <c r="O6" s="4"/>
      <c r="P6" s="4"/>
      <c r="Q6" s="4"/>
      <c r="R6" s="4"/>
      <c r="S6" s="4"/>
      <c r="T6" s="4"/>
      <c r="U6" s="4"/>
      <c r="V6" s="4"/>
      <c r="W6" s="4"/>
      <c r="X6" s="4"/>
      <c r="Y6" s="4"/>
      <c r="Z6" s="4"/>
    </row>
    <row r="7" spans="1:26">
      <c r="A7" s="85" t="s">
        <v>145</v>
      </c>
      <c r="B7" s="86"/>
      <c r="C7" s="4"/>
      <c r="D7" s="4"/>
      <c r="E7" s="4"/>
      <c r="F7" s="4"/>
      <c r="G7" s="4"/>
      <c r="H7" s="4"/>
      <c r="I7" s="4"/>
      <c r="J7" s="4"/>
      <c r="K7" s="4"/>
      <c r="L7" s="4"/>
      <c r="M7" s="4"/>
      <c r="N7" s="4"/>
      <c r="O7" s="4"/>
      <c r="P7" s="4"/>
      <c r="Q7" s="4"/>
      <c r="R7" s="4"/>
      <c r="S7" s="4"/>
      <c r="T7" s="4"/>
      <c r="U7" s="4"/>
      <c r="V7" s="4"/>
      <c r="W7" s="4"/>
      <c r="X7" s="4"/>
      <c r="Y7" s="4"/>
      <c r="Z7" s="4"/>
    </row>
    <row r="8" spans="1:26">
      <c r="A8" s="87" t="s">
        <v>146</v>
      </c>
      <c r="B8" s="88">
        <f>ROUND(Assumptions!G28*Assumptions!G21,0)</f>
        <v>521853</v>
      </c>
      <c r="C8" s="4"/>
      <c r="D8" s="4"/>
      <c r="E8" s="4"/>
      <c r="F8" s="4"/>
      <c r="G8" s="4"/>
      <c r="H8" s="4"/>
      <c r="I8" s="4"/>
      <c r="J8" s="4"/>
      <c r="K8" s="4"/>
      <c r="L8" s="4"/>
      <c r="M8" s="4"/>
      <c r="N8" s="4"/>
      <c r="O8" s="4"/>
      <c r="P8" s="4"/>
      <c r="Q8" s="4"/>
      <c r="R8" s="4"/>
      <c r="S8" s="4"/>
      <c r="T8" s="4"/>
      <c r="U8" s="4"/>
      <c r="V8" s="4"/>
      <c r="W8" s="4"/>
      <c r="X8" s="4"/>
      <c r="Y8" s="4"/>
      <c r="Z8" s="4"/>
    </row>
    <row r="9" spans="1:26">
      <c r="A9" s="87" t="s">
        <v>147</v>
      </c>
      <c r="B9" s="88">
        <f>Assumptions!G29</f>
        <v>262500</v>
      </c>
      <c r="C9" s="4"/>
      <c r="D9" s="4"/>
      <c r="E9" s="4"/>
      <c r="F9" s="4"/>
      <c r="G9" s="4"/>
      <c r="H9" s="4"/>
      <c r="I9" s="4"/>
      <c r="J9" s="4"/>
      <c r="K9" s="4"/>
      <c r="L9" s="4"/>
      <c r="M9" s="4"/>
      <c r="N9" s="4"/>
      <c r="O9" s="4"/>
      <c r="P9" s="4"/>
      <c r="Q9" s="4"/>
      <c r="R9" s="4"/>
      <c r="S9" s="4"/>
      <c r="T9" s="4"/>
      <c r="U9" s="4"/>
      <c r="V9" s="4"/>
      <c r="W9" s="4"/>
      <c r="X9" s="4"/>
      <c r="Y9" s="4"/>
      <c r="Z9" s="4"/>
    </row>
    <row r="10" spans="1:26">
      <c r="A10" s="87" t="s">
        <v>148</v>
      </c>
      <c r="B10" s="88">
        <f>Assumptions!G31</f>
        <v>0</v>
      </c>
      <c r="C10" s="4"/>
      <c r="D10" s="4"/>
      <c r="E10" s="4"/>
      <c r="F10" s="4"/>
      <c r="G10" s="4"/>
      <c r="H10" s="4"/>
      <c r="I10" s="4"/>
      <c r="J10" s="4"/>
      <c r="K10" s="4"/>
      <c r="L10" s="4"/>
      <c r="M10" s="4"/>
      <c r="N10" s="4"/>
      <c r="O10" s="4"/>
      <c r="P10" s="4"/>
      <c r="Q10" s="4"/>
      <c r="R10" s="4"/>
      <c r="S10" s="4"/>
      <c r="T10" s="4"/>
      <c r="U10" s="4"/>
      <c r="V10" s="4"/>
      <c r="W10" s="4"/>
      <c r="X10" s="4"/>
      <c r="Y10" s="4"/>
      <c r="Z10" s="4"/>
    </row>
    <row r="11" spans="1:26">
      <c r="A11" s="87" t="s">
        <v>149</v>
      </c>
      <c r="B11" s="88">
        <f>Assumptions!G30</f>
        <v>0</v>
      </c>
      <c r="C11" s="4"/>
      <c r="D11" s="4"/>
      <c r="E11" s="4"/>
      <c r="F11" s="4"/>
      <c r="G11" s="4"/>
      <c r="H11" s="4"/>
      <c r="I11" s="4"/>
      <c r="J11" s="4"/>
      <c r="K11" s="4"/>
      <c r="L11" s="4"/>
      <c r="M11" s="4"/>
      <c r="N11" s="4"/>
      <c r="O11" s="4"/>
      <c r="P11" s="4"/>
      <c r="Q11" s="4"/>
      <c r="R11" s="4"/>
      <c r="S11" s="4"/>
      <c r="T11" s="4"/>
      <c r="U11" s="4"/>
      <c r="V11" s="4"/>
      <c r="W11" s="4"/>
      <c r="X11" s="4"/>
      <c r="Y11" s="4"/>
      <c r="Z11" s="4"/>
    </row>
    <row r="12" spans="1:26">
      <c r="A12" s="87" t="s">
        <v>150</v>
      </c>
      <c r="B12" s="88">
        <f>Assumptions!G33</f>
        <v>254250</v>
      </c>
      <c r="C12" s="4"/>
      <c r="D12" s="4"/>
      <c r="E12" s="4"/>
      <c r="F12" s="4"/>
      <c r="G12" s="4"/>
      <c r="H12" s="4"/>
      <c r="I12" s="4"/>
      <c r="J12" s="4"/>
      <c r="K12" s="4"/>
      <c r="L12" s="4"/>
      <c r="M12" s="4"/>
      <c r="N12" s="4"/>
      <c r="O12" s="4"/>
      <c r="P12" s="4"/>
      <c r="Q12" s="4"/>
      <c r="R12" s="4"/>
      <c r="S12" s="4"/>
      <c r="T12" s="4"/>
      <c r="U12" s="4"/>
      <c r="V12" s="4"/>
      <c r="W12" s="4"/>
      <c r="X12" s="4"/>
      <c r="Y12" s="4"/>
      <c r="Z12" s="4"/>
    </row>
    <row r="13" spans="1:26">
      <c r="A13" s="87" t="s">
        <v>151</v>
      </c>
      <c r="B13" s="88">
        <f>Assumptions!G32</f>
        <v>192150</v>
      </c>
      <c r="C13" s="4"/>
      <c r="D13" s="4"/>
      <c r="E13" s="4"/>
      <c r="F13" s="4"/>
      <c r="G13" s="4"/>
      <c r="H13" s="4"/>
      <c r="I13" s="4"/>
      <c r="J13" s="4"/>
      <c r="K13" s="4"/>
      <c r="L13" s="4"/>
      <c r="M13" s="4"/>
      <c r="N13" s="4"/>
      <c r="O13" s="4"/>
      <c r="P13" s="4"/>
      <c r="Q13" s="4"/>
      <c r="R13" s="4"/>
      <c r="S13" s="4"/>
      <c r="T13" s="4"/>
      <c r="U13" s="4"/>
      <c r="V13" s="4"/>
      <c r="W13" s="4"/>
      <c r="X13" s="4"/>
      <c r="Y13" s="4"/>
      <c r="Z13" s="4"/>
    </row>
    <row r="14" spans="1:26">
      <c r="A14" s="87" t="s">
        <v>152</v>
      </c>
      <c r="B14" s="88">
        <f>Assumptions!G35</f>
        <v>0</v>
      </c>
      <c r="C14" s="4"/>
      <c r="D14" s="4"/>
      <c r="E14" s="4"/>
      <c r="F14" s="4"/>
      <c r="G14" s="4"/>
      <c r="H14" s="4"/>
      <c r="I14" s="4"/>
      <c r="J14" s="4"/>
      <c r="K14" s="4"/>
      <c r="L14" s="4"/>
      <c r="M14" s="4"/>
      <c r="N14" s="4"/>
      <c r="O14" s="4"/>
      <c r="P14" s="4"/>
      <c r="Q14" s="4"/>
      <c r="R14" s="4"/>
      <c r="S14" s="4"/>
      <c r="T14" s="4"/>
      <c r="U14" s="4"/>
      <c r="V14" s="4"/>
      <c r="W14" s="4"/>
      <c r="X14" s="4"/>
      <c r="Y14" s="4"/>
      <c r="Z14" s="4"/>
    </row>
    <row r="15" spans="1:26">
      <c r="A15" s="87" t="s">
        <v>153</v>
      </c>
      <c r="B15" s="89">
        <f>Assumptions!G34</f>
        <v>0</v>
      </c>
      <c r="C15" s="4"/>
      <c r="D15" s="4"/>
      <c r="E15" s="4"/>
      <c r="F15" s="4"/>
      <c r="G15" s="4"/>
      <c r="H15" s="4"/>
      <c r="I15" s="4"/>
      <c r="J15" s="4"/>
      <c r="K15" s="4"/>
      <c r="L15" s="4"/>
      <c r="M15" s="4"/>
      <c r="N15" s="4"/>
      <c r="O15" s="4"/>
      <c r="P15" s="4"/>
      <c r="Q15" s="4"/>
      <c r="R15" s="4"/>
      <c r="S15" s="4"/>
      <c r="T15" s="4"/>
      <c r="U15" s="4"/>
      <c r="V15" s="4"/>
      <c r="W15" s="4"/>
      <c r="X15" s="4"/>
      <c r="Y15" s="4"/>
      <c r="Z15" s="4"/>
    </row>
    <row r="16" spans="1:26">
      <c r="A16" s="85" t="s">
        <v>154</v>
      </c>
      <c r="B16" s="90">
        <f>SUM(B8:B15)</f>
        <v>1230753</v>
      </c>
      <c r="C16" s="4"/>
      <c r="D16" s="4"/>
      <c r="E16" s="4"/>
      <c r="F16" s="4"/>
      <c r="G16" s="4"/>
      <c r="H16" s="4"/>
      <c r="I16" s="4"/>
      <c r="J16" s="4"/>
      <c r="K16" s="4"/>
      <c r="L16" s="4"/>
      <c r="M16" s="4"/>
      <c r="N16" s="4"/>
      <c r="O16" s="4"/>
      <c r="P16" s="4"/>
      <c r="Q16" s="4"/>
      <c r="R16" s="4"/>
      <c r="S16" s="4"/>
      <c r="T16" s="4"/>
      <c r="U16" s="4"/>
      <c r="V16" s="4"/>
      <c r="W16" s="4"/>
      <c r="X16" s="4"/>
      <c r="Y16" s="4"/>
      <c r="Z16" s="4"/>
    </row>
    <row r="17" spans="1:26">
      <c r="A17" s="87"/>
      <c r="B17" s="88"/>
      <c r="C17" s="4"/>
      <c r="D17" s="4"/>
      <c r="E17" s="4"/>
      <c r="F17" s="4"/>
      <c r="G17" s="4"/>
      <c r="H17" s="4"/>
      <c r="I17" s="4"/>
      <c r="J17" s="4"/>
      <c r="K17" s="4"/>
      <c r="L17" s="4"/>
      <c r="M17" s="4"/>
      <c r="N17" s="4"/>
      <c r="O17" s="4"/>
      <c r="P17" s="4"/>
      <c r="Q17" s="4"/>
      <c r="R17" s="4"/>
      <c r="S17" s="4"/>
      <c r="T17" s="4"/>
      <c r="U17" s="4"/>
      <c r="V17" s="4"/>
      <c r="W17" s="4"/>
      <c r="X17" s="4"/>
      <c r="Y17" s="4"/>
      <c r="Z17" s="4"/>
    </row>
    <row r="18" spans="1:26">
      <c r="A18" s="85" t="s">
        <v>155</v>
      </c>
      <c r="B18" s="88"/>
      <c r="C18" s="4"/>
      <c r="D18" s="4"/>
      <c r="E18" s="4"/>
      <c r="F18" s="4"/>
      <c r="G18" s="4"/>
      <c r="H18" s="4"/>
      <c r="I18" s="4"/>
      <c r="J18" s="4"/>
      <c r="K18" s="4"/>
      <c r="L18" s="4"/>
      <c r="M18" s="4"/>
      <c r="N18" s="4"/>
      <c r="O18" s="4"/>
      <c r="P18" s="4"/>
      <c r="Q18" s="4"/>
      <c r="R18" s="4"/>
      <c r="S18" s="4"/>
      <c r="T18" s="4"/>
      <c r="U18" s="4"/>
      <c r="V18" s="4"/>
      <c r="W18" s="4"/>
      <c r="X18" s="4"/>
      <c r="Y18" s="4"/>
      <c r="Z18" s="4"/>
    </row>
    <row r="19" spans="1:26">
      <c r="A19" s="87" t="s">
        <v>156</v>
      </c>
      <c r="B19" s="88">
        <f>ROUND(Assumptions!G27*Assumptions!G22,0)</f>
        <v>8558461</v>
      </c>
      <c r="C19" s="4"/>
      <c r="D19" s="4"/>
      <c r="E19" s="4"/>
      <c r="F19" s="4"/>
      <c r="G19" s="4"/>
      <c r="H19" s="4"/>
      <c r="I19" s="4"/>
      <c r="J19" s="4"/>
      <c r="K19" s="4"/>
      <c r="L19" s="4"/>
      <c r="M19" s="4"/>
      <c r="N19" s="4"/>
      <c r="O19" s="4"/>
      <c r="P19" s="4"/>
      <c r="Q19" s="4"/>
      <c r="R19" s="4"/>
      <c r="S19" s="4"/>
      <c r="T19" s="4"/>
      <c r="U19" s="4"/>
      <c r="V19" s="4"/>
      <c r="W19" s="4"/>
      <c r="X19" s="4"/>
      <c r="Y19" s="4"/>
      <c r="Z19" s="4"/>
    </row>
    <row r="20" spans="1:26">
      <c r="A20" s="87" t="s">
        <v>157</v>
      </c>
      <c r="B20" s="88">
        <f>ROUND(Assumptions!G36*Assumptions!G21,0)</f>
        <v>160125</v>
      </c>
      <c r="C20" s="4"/>
      <c r="D20" s="4"/>
      <c r="E20" s="4"/>
      <c r="F20" s="4"/>
      <c r="G20" s="4"/>
      <c r="H20" s="4"/>
      <c r="I20" s="4"/>
      <c r="J20" s="4"/>
      <c r="K20" s="4"/>
      <c r="L20" s="4"/>
      <c r="M20" s="4"/>
      <c r="N20" s="4"/>
      <c r="O20" s="4"/>
      <c r="P20" s="4"/>
      <c r="Q20" s="4"/>
      <c r="R20" s="4"/>
      <c r="S20" s="4"/>
      <c r="T20" s="4"/>
      <c r="U20" s="4"/>
      <c r="V20" s="4"/>
      <c r="W20" s="4"/>
      <c r="X20" s="4"/>
      <c r="Y20" s="4"/>
      <c r="Z20" s="4"/>
    </row>
    <row r="21" spans="1:26">
      <c r="A21" s="87" t="s">
        <v>158</v>
      </c>
      <c r="B21" s="89">
        <f>Assumptions!G38</f>
        <v>0</v>
      </c>
      <c r="C21" s="4"/>
      <c r="D21" s="4"/>
      <c r="E21" s="4"/>
      <c r="F21" s="4"/>
      <c r="G21" s="4"/>
      <c r="H21" s="4"/>
      <c r="I21" s="4"/>
      <c r="J21" s="4"/>
      <c r="K21" s="4"/>
      <c r="L21" s="4"/>
      <c r="M21" s="4"/>
      <c r="N21" s="4"/>
      <c r="O21" s="4"/>
      <c r="P21" s="4"/>
      <c r="Q21" s="4"/>
      <c r="R21" s="4"/>
      <c r="S21" s="4"/>
      <c r="T21" s="4"/>
      <c r="U21" s="4"/>
      <c r="V21" s="4"/>
      <c r="W21" s="4"/>
      <c r="X21" s="4"/>
      <c r="Y21" s="4"/>
      <c r="Z21" s="4"/>
    </row>
    <row r="22" spans="1:26">
      <c r="A22" s="85" t="s">
        <v>159</v>
      </c>
      <c r="B22" s="90">
        <f>SUM(B19:B21)</f>
        <v>8718586</v>
      </c>
      <c r="C22" s="4"/>
      <c r="D22" s="4"/>
      <c r="E22" s="4"/>
      <c r="F22" s="4"/>
      <c r="G22" s="4"/>
      <c r="H22" s="4"/>
      <c r="I22" s="4"/>
      <c r="J22" s="4"/>
      <c r="K22" s="4"/>
      <c r="L22" s="4"/>
      <c r="M22" s="4"/>
      <c r="N22" s="4"/>
      <c r="O22" s="4"/>
      <c r="P22" s="4"/>
      <c r="Q22" s="4"/>
      <c r="R22" s="4"/>
      <c r="S22" s="4"/>
      <c r="T22" s="4"/>
      <c r="U22" s="4"/>
      <c r="V22" s="4"/>
      <c r="W22" s="4"/>
      <c r="X22" s="4"/>
      <c r="Y22" s="4"/>
      <c r="Z22" s="4"/>
    </row>
    <row r="23" spans="1:26">
      <c r="A23" s="87"/>
      <c r="B23" s="88"/>
      <c r="C23" s="4"/>
      <c r="D23" s="4"/>
      <c r="E23" s="4"/>
      <c r="F23" s="4"/>
      <c r="G23" s="4"/>
      <c r="H23" s="4"/>
      <c r="I23" s="4"/>
      <c r="J23" s="4"/>
      <c r="K23" s="4"/>
      <c r="L23" s="4"/>
      <c r="M23" s="4"/>
      <c r="N23" s="4"/>
      <c r="O23" s="4"/>
      <c r="P23" s="4"/>
      <c r="Q23" s="4"/>
      <c r="R23" s="4"/>
      <c r="S23" s="4"/>
      <c r="T23" s="4"/>
      <c r="U23" s="4"/>
      <c r="V23" s="4"/>
      <c r="W23" s="4"/>
      <c r="X23" s="4"/>
      <c r="Y23" s="4"/>
      <c r="Z23" s="4"/>
    </row>
    <row r="24" spans="1:26">
      <c r="A24" s="85" t="s">
        <v>160</v>
      </c>
      <c r="B24" s="88"/>
      <c r="C24" s="4"/>
      <c r="D24" s="4"/>
      <c r="E24" s="4"/>
      <c r="F24" s="4"/>
      <c r="G24" s="4"/>
      <c r="H24" s="4"/>
      <c r="I24" s="4"/>
      <c r="J24" s="4"/>
      <c r="K24" s="4"/>
      <c r="L24" s="4"/>
      <c r="M24" s="4"/>
      <c r="N24" s="4"/>
      <c r="O24" s="4"/>
      <c r="P24" s="4"/>
      <c r="Q24" s="4"/>
      <c r="R24" s="4"/>
      <c r="S24" s="4"/>
      <c r="T24" s="4"/>
      <c r="U24" s="4"/>
      <c r="V24" s="4"/>
      <c r="W24" s="4"/>
      <c r="X24" s="4"/>
      <c r="Y24" s="4"/>
      <c r="Z24" s="4"/>
    </row>
    <row r="25" spans="1:26">
      <c r="A25" s="87" t="s">
        <v>161</v>
      </c>
      <c r="B25" s="89">
        <f>Assumptions!G37</f>
        <v>0</v>
      </c>
      <c r="C25" s="4"/>
      <c r="D25" s="4"/>
      <c r="E25" s="4"/>
      <c r="F25" s="4"/>
      <c r="G25" s="4"/>
      <c r="H25" s="4"/>
      <c r="I25" s="4"/>
      <c r="J25" s="4"/>
      <c r="K25" s="4"/>
      <c r="L25" s="4"/>
      <c r="M25" s="4"/>
      <c r="N25" s="4"/>
      <c r="O25" s="4"/>
      <c r="P25" s="4"/>
      <c r="Q25" s="4"/>
      <c r="R25" s="4"/>
      <c r="S25" s="4"/>
      <c r="T25" s="4"/>
      <c r="U25" s="4"/>
      <c r="V25" s="4"/>
      <c r="W25" s="4"/>
      <c r="X25" s="4"/>
      <c r="Y25" s="4"/>
      <c r="Z25" s="4"/>
    </row>
    <row r="26" spans="1:26">
      <c r="A26" s="85" t="s">
        <v>162</v>
      </c>
      <c r="B26" s="90">
        <f>SUM(B25)</f>
        <v>0</v>
      </c>
      <c r="C26" s="4"/>
      <c r="D26" s="4"/>
      <c r="E26" s="4"/>
      <c r="F26" s="4"/>
      <c r="G26" s="4"/>
      <c r="H26" s="4"/>
      <c r="I26" s="4"/>
      <c r="J26" s="4"/>
      <c r="K26" s="4"/>
      <c r="L26" s="4"/>
      <c r="M26" s="4"/>
      <c r="N26" s="4"/>
      <c r="O26" s="4"/>
      <c r="P26" s="4"/>
      <c r="Q26" s="4"/>
      <c r="R26" s="4"/>
      <c r="S26" s="4"/>
      <c r="T26" s="4"/>
      <c r="U26" s="4"/>
      <c r="V26" s="4"/>
      <c r="W26" s="4"/>
      <c r="X26" s="4"/>
      <c r="Y26" s="4"/>
      <c r="Z26" s="4"/>
    </row>
    <row r="27" spans="1:26">
      <c r="A27" s="85"/>
      <c r="B27" s="90"/>
      <c r="C27" s="4"/>
      <c r="D27" s="4"/>
      <c r="E27" s="4"/>
      <c r="F27" s="4"/>
      <c r="G27" s="4"/>
      <c r="H27" s="4"/>
      <c r="I27" s="4"/>
      <c r="J27" s="4"/>
      <c r="K27" s="4"/>
      <c r="L27" s="4"/>
      <c r="M27" s="4"/>
      <c r="N27" s="4"/>
      <c r="O27" s="4"/>
      <c r="P27" s="4"/>
      <c r="Q27" s="4"/>
      <c r="R27" s="4"/>
      <c r="S27" s="4"/>
      <c r="T27" s="4"/>
      <c r="U27" s="4"/>
      <c r="V27" s="4"/>
      <c r="W27" s="4"/>
      <c r="X27" s="4"/>
      <c r="Y27" s="4"/>
      <c r="Z27" s="4"/>
    </row>
    <row r="28" spans="1:26" ht="15.75">
      <c r="A28" s="91" t="s">
        <v>163</v>
      </c>
      <c r="B28" s="92">
        <f>SUM(B16,B22,B26)</f>
        <v>9949339</v>
      </c>
      <c r="C28" s="4"/>
      <c r="D28" s="4"/>
      <c r="E28" s="4"/>
      <c r="F28" s="4"/>
      <c r="G28" s="4"/>
      <c r="H28" s="4"/>
      <c r="I28" s="4"/>
      <c r="J28" s="4"/>
      <c r="K28" s="4"/>
      <c r="L28" s="4"/>
      <c r="M28" s="4"/>
      <c r="N28" s="4"/>
      <c r="O28" s="4"/>
      <c r="P28" s="4"/>
      <c r="Q28" s="4"/>
      <c r="R28" s="4"/>
      <c r="S28" s="4"/>
      <c r="T28" s="4"/>
      <c r="U28" s="4"/>
      <c r="V28" s="4"/>
      <c r="W28" s="93">
        <f>(Assumptions!G27*Assumptions!G22+Assumptions!G28*Assumptions!G21+Assumptions!G36*Assumptions!G22+Assumptions!G29+Assumptions!G30+Assumptions!G31+Assumptions!G32+Assumptions!G33+Assumptions!G34+Assumptions!G35+Assumptions!G37+Assumptions!G38)-'Year 0'!$B$28</f>
        <v>9950838.7930351999</v>
      </c>
      <c r="X28" s="4" t="s">
        <v>164</v>
      </c>
      <c r="Y28" s="4"/>
      <c r="Z28" s="4"/>
    </row>
    <row r="29" spans="1:26">
      <c r="A29" s="4"/>
      <c r="B29" s="88"/>
      <c r="C29" s="4"/>
      <c r="D29" s="4"/>
      <c r="E29" s="4"/>
      <c r="F29" s="4"/>
      <c r="G29" s="4"/>
      <c r="H29" s="4"/>
      <c r="I29" s="4"/>
      <c r="J29" s="4"/>
      <c r="K29" s="4"/>
      <c r="L29" s="4"/>
      <c r="M29" s="4"/>
      <c r="N29" s="4"/>
      <c r="O29" s="4"/>
      <c r="P29" s="4"/>
      <c r="Q29" s="4"/>
      <c r="R29" s="4"/>
      <c r="S29" s="4"/>
      <c r="T29" s="4"/>
      <c r="U29" s="4"/>
      <c r="V29" s="4"/>
      <c r="W29" s="4"/>
      <c r="X29" s="4"/>
      <c r="Y29" s="4"/>
      <c r="Z29" s="4"/>
    </row>
    <row r="30" spans="1:26" ht="18.75">
      <c r="A30" s="94" t="s">
        <v>165</v>
      </c>
      <c r="B30" s="95"/>
      <c r="C30" s="4"/>
      <c r="D30" s="4"/>
      <c r="E30" s="4"/>
      <c r="F30" s="4"/>
      <c r="G30" s="4"/>
      <c r="H30" s="4"/>
      <c r="I30" s="4"/>
      <c r="J30" s="4"/>
      <c r="K30" s="4"/>
      <c r="L30" s="4"/>
      <c r="M30" s="4"/>
      <c r="N30" s="4"/>
      <c r="O30" s="4"/>
      <c r="P30" s="4"/>
      <c r="Q30" s="4"/>
      <c r="R30" s="4"/>
      <c r="S30" s="4"/>
      <c r="T30" s="4"/>
      <c r="U30" s="4"/>
      <c r="V30" s="4"/>
      <c r="W30" s="4"/>
      <c r="X30" s="4"/>
      <c r="Y30" s="4"/>
      <c r="Z30" s="4"/>
    </row>
    <row r="31" spans="1:26">
      <c r="A31" s="85" t="s">
        <v>166</v>
      </c>
      <c r="B31" s="88"/>
      <c r="C31" s="4"/>
      <c r="D31" s="4"/>
      <c r="E31" s="4"/>
      <c r="F31" s="4"/>
      <c r="G31" s="4"/>
      <c r="H31" s="4"/>
      <c r="I31" s="4"/>
      <c r="J31" s="4"/>
      <c r="K31" s="4"/>
      <c r="L31" s="4"/>
      <c r="M31" s="4"/>
      <c r="N31" s="4"/>
      <c r="O31" s="4"/>
      <c r="P31" s="4"/>
      <c r="Q31" s="4"/>
      <c r="R31" s="4"/>
      <c r="S31" s="4"/>
      <c r="T31" s="4"/>
      <c r="U31" s="4"/>
      <c r="V31" s="4"/>
      <c r="W31" s="4"/>
      <c r="X31" s="4"/>
      <c r="Y31" s="4"/>
      <c r="Z31" s="4"/>
    </row>
    <row r="32" spans="1:26">
      <c r="A32" s="87" t="s">
        <v>167</v>
      </c>
      <c r="B32" s="88">
        <f>Assumptions!G41</f>
        <v>2728811.4753599991</v>
      </c>
      <c r="C32" s="4"/>
      <c r="D32" s="4"/>
      <c r="E32" s="4"/>
      <c r="F32" s="4"/>
      <c r="G32" s="4"/>
      <c r="H32" s="4"/>
      <c r="I32" s="4"/>
      <c r="J32" s="4"/>
      <c r="K32" s="4"/>
      <c r="L32" s="4"/>
      <c r="M32" s="4"/>
      <c r="N32" s="4"/>
      <c r="O32" s="4"/>
      <c r="P32" s="4"/>
      <c r="Q32" s="4"/>
      <c r="R32" s="4"/>
      <c r="S32" s="4"/>
      <c r="T32" s="4"/>
      <c r="U32" s="4"/>
      <c r="V32" s="4"/>
      <c r="W32" s="4"/>
      <c r="X32" s="4"/>
      <c r="Y32" s="4"/>
      <c r="Z32" s="4"/>
    </row>
    <row r="33" spans="1:26">
      <c r="A33" s="87" t="s">
        <v>168</v>
      </c>
      <c r="B33" s="89">
        <f>Assumptions!G42</f>
        <v>167776.98479999998</v>
      </c>
      <c r="C33" s="4"/>
      <c r="D33" s="4"/>
      <c r="E33" s="4"/>
      <c r="F33" s="4"/>
      <c r="G33" s="4"/>
      <c r="H33" s="4"/>
      <c r="I33" s="4"/>
      <c r="J33" s="4"/>
      <c r="K33" s="4"/>
      <c r="L33" s="4"/>
      <c r="M33" s="4"/>
      <c r="N33" s="4"/>
      <c r="O33" s="4"/>
      <c r="P33" s="4"/>
      <c r="Q33" s="4"/>
      <c r="R33" s="4"/>
      <c r="S33" s="4"/>
      <c r="T33" s="4"/>
      <c r="U33" s="4"/>
      <c r="V33" s="4"/>
      <c r="W33" s="4"/>
      <c r="X33" s="4"/>
      <c r="Y33" s="4"/>
      <c r="Z33" s="4"/>
    </row>
    <row r="34" spans="1:26">
      <c r="A34" s="85" t="s">
        <v>169</v>
      </c>
      <c r="B34" s="90">
        <f>SUM(B32:B33)</f>
        <v>2896588.4601599993</v>
      </c>
      <c r="C34" s="4"/>
      <c r="D34" s="4"/>
      <c r="E34" s="4"/>
      <c r="F34" s="4"/>
      <c r="G34" s="4"/>
      <c r="H34" s="4"/>
      <c r="I34" s="4"/>
      <c r="J34" s="4"/>
      <c r="K34" s="4"/>
      <c r="L34" s="4"/>
      <c r="M34" s="4"/>
      <c r="N34" s="4"/>
      <c r="O34" s="4"/>
      <c r="P34" s="4"/>
      <c r="Q34" s="4"/>
      <c r="R34" s="4"/>
      <c r="S34" s="4"/>
      <c r="T34" s="4"/>
      <c r="U34" s="4"/>
      <c r="V34" s="4"/>
      <c r="W34" s="4"/>
      <c r="X34" s="4"/>
      <c r="Y34" s="4"/>
      <c r="Z34" s="4"/>
    </row>
    <row r="35" spans="1:26">
      <c r="A35" s="85" t="s">
        <v>170</v>
      </c>
      <c r="B35" s="88"/>
      <c r="C35" s="4"/>
      <c r="D35" s="4"/>
      <c r="E35" s="4"/>
      <c r="F35" s="4"/>
      <c r="G35" s="4"/>
      <c r="H35" s="4"/>
      <c r="I35" s="4"/>
      <c r="J35" s="4"/>
      <c r="K35" s="4"/>
      <c r="L35" s="4"/>
      <c r="M35" s="4"/>
      <c r="N35" s="4"/>
      <c r="O35" s="4"/>
      <c r="P35" s="4"/>
      <c r="Q35" s="4"/>
      <c r="R35" s="4"/>
      <c r="S35" s="4"/>
      <c r="T35" s="4"/>
      <c r="U35" s="4"/>
      <c r="V35" s="4"/>
      <c r="W35" s="4"/>
      <c r="X35" s="4"/>
      <c r="Y35" s="4"/>
      <c r="Z35" s="4"/>
    </row>
    <row r="36" spans="1:26">
      <c r="A36" s="87" t="s">
        <v>9</v>
      </c>
      <c r="B36" s="88">
        <f>Assumptions!G46</f>
        <v>334142.56296000001</v>
      </c>
      <c r="C36" s="4"/>
      <c r="D36" s="4"/>
      <c r="E36" s="4"/>
      <c r="F36" s="4"/>
      <c r="G36" s="4"/>
      <c r="H36" s="4"/>
      <c r="I36" s="4"/>
      <c r="J36" s="4"/>
      <c r="K36" s="4"/>
      <c r="L36" s="4"/>
      <c r="M36" s="4"/>
      <c r="N36" s="4"/>
      <c r="O36" s="4"/>
      <c r="P36" s="4"/>
      <c r="Q36" s="4"/>
      <c r="R36" s="4"/>
      <c r="S36" s="4"/>
      <c r="T36" s="4"/>
      <c r="U36" s="4"/>
      <c r="V36" s="4"/>
      <c r="W36" s="4"/>
      <c r="X36" s="4"/>
      <c r="Y36" s="4"/>
      <c r="Z36" s="4"/>
    </row>
    <row r="37" spans="1:26">
      <c r="A37" s="87" t="s">
        <v>171</v>
      </c>
      <c r="B37" s="88">
        <f>Assumptions!G47</f>
        <v>0</v>
      </c>
      <c r="C37" s="4"/>
      <c r="D37" s="4"/>
      <c r="E37" s="4"/>
      <c r="F37" s="4"/>
      <c r="G37" s="4"/>
      <c r="H37" s="4"/>
      <c r="I37" s="4"/>
      <c r="J37" s="4"/>
      <c r="K37" s="4"/>
      <c r="L37" s="4"/>
      <c r="M37" s="4"/>
      <c r="N37" s="4"/>
      <c r="O37" s="4"/>
      <c r="P37" s="4"/>
      <c r="Q37" s="4"/>
      <c r="R37" s="4"/>
      <c r="S37" s="4"/>
      <c r="T37" s="4"/>
      <c r="U37" s="4"/>
      <c r="V37" s="4"/>
      <c r="W37" s="4"/>
      <c r="X37" s="4"/>
      <c r="Y37" s="4"/>
      <c r="Z37" s="4"/>
    </row>
    <row r="38" spans="1:26">
      <c r="A38" s="87" t="s">
        <v>172</v>
      </c>
      <c r="B38" s="88">
        <f>Assumptions!G48</f>
        <v>93152.422079999989</v>
      </c>
      <c r="C38" s="4"/>
      <c r="D38" s="4"/>
      <c r="E38" s="4"/>
      <c r="F38" s="4"/>
      <c r="G38" s="4"/>
      <c r="H38" s="4"/>
      <c r="I38" s="4"/>
      <c r="J38" s="4"/>
      <c r="K38" s="4"/>
      <c r="L38" s="4"/>
      <c r="M38" s="4"/>
      <c r="N38" s="4"/>
      <c r="O38" s="4"/>
      <c r="P38" s="4"/>
      <c r="Q38" s="4"/>
      <c r="R38" s="4"/>
      <c r="S38" s="4"/>
      <c r="T38" s="4"/>
      <c r="U38" s="4"/>
      <c r="V38" s="4"/>
      <c r="W38" s="4"/>
      <c r="X38" s="4"/>
      <c r="Y38" s="4"/>
      <c r="Z38" s="4"/>
    </row>
    <row r="39" spans="1:26">
      <c r="A39" s="87" t="s">
        <v>173</v>
      </c>
      <c r="B39" s="89">
        <f>Assumptions!G49</f>
        <v>337155.96919680003</v>
      </c>
      <c r="C39" s="4"/>
      <c r="D39" s="4"/>
      <c r="E39" s="4"/>
      <c r="F39" s="4"/>
      <c r="G39" s="4"/>
      <c r="H39" s="4"/>
      <c r="I39" s="4"/>
      <c r="J39" s="4"/>
      <c r="K39" s="4"/>
      <c r="L39" s="4"/>
      <c r="M39" s="4"/>
      <c r="N39" s="4"/>
      <c r="O39" s="4"/>
      <c r="P39" s="4"/>
      <c r="Q39" s="4"/>
      <c r="R39" s="4"/>
      <c r="S39" s="4"/>
      <c r="T39" s="4"/>
      <c r="U39" s="4"/>
      <c r="V39" s="4"/>
      <c r="W39" s="4"/>
      <c r="X39" s="4"/>
      <c r="Y39" s="4"/>
      <c r="Z39" s="4"/>
    </row>
    <row r="40" spans="1:26">
      <c r="A40" s="85" t="s">
        <v>174</v>
      </c>
      <c r="B40" s="90">
        <f>SUM(B36:B39)</f>
        <v>764450.95423680008</v>
      </c>
      <c r="C40" s="4"/>
      <c r="D40" s="4"/>
      <c r="E40" s="4"/>
      <c r="F40" s="4"/>
      <c r="G40" s="4"/>
      <c r="H40" s="4"/>
      <c r="I40" s="4"/>
      <c r="J40" s="4"/>
      <c r="K40" s="4"/>
      <c r="L40" s="4"/>
      <c r="M40" s="4"/>
      <c r="N40" s="4"/>
      <c r="O40" s="4"/>
      <c r="P40" s="4"/>
      <c r="Q40" s="4"/>
      <c r="R40" s="4"/>
      <c r="S40" s="4"/>
      <c r="T40" s="4"/>
      <c r="U40" s="4"/>
      <c r="V40" s="4"/>
      <c r="W40" s="4"/>
      <c r="X40" s="4"/>
      <c r="Y40" s="4"/>
      <c r="Z40" s="4"/>
    </row>
    <row r="41" spans="1:26">
      <c r="A41" s="85" t="s">
        <v>175</v>
      </c>
      <c r="B41" s="90"/>
      <c r="C41" s="4"/>
      <c r="D41" s="4"/>
      <c r="E41" s="4"/>
      <c r="F41" s="4"/>
      <c r="G41" s="4"/>
      <c r="H41" s="4"/>
      <c r="I41" s="4"/>
      <c r="J41" s="4"/>
      <c r="K41" s="4"/>
      <c r="L41" s="4"/>
      <c r="M41" s="4"/>
      <c r="N41" s="4"/>
      <c r="O41" s="4"/>
      <c r="P41" s="4"/>
      <c r="Q41" s="4"/>
      <c r="R41" s="4"/>
      <c r="S41" s="4"/>
      <c r="T41" s="4"/>
      <c r="U41" s="4"/>
      <c r="V41" s="4"/>
      <c r="W41" s="4"/>
      <c r="X41" s="4"/>
      <c r="Y41" s="4"/>
      <c r="Z41" s="4"/>
    </row>
    <row r="42" spans="1:26">
      <c r="A42" s="87" t="s">
        <v>176</v>
      </c>
      <c r="B42" s="88">
        <f>Assumptions!G53</f>
        <v>61000</v>
      </c>
      <c r="C42" s="4"/>
      <c r="D42" s="4"/>
      <c r="E42" s="4"/>
      <c r="F42" s="4"/>
      <c r="G42" s="4"/>
      <c r="H42" s="4"/>
      <c r="I42" s="4"/>
      <c r="J42" s="4"/>
      <c r="K42" s="4"/>
      <c r="L42" s="4"/>
      <c r="M42" s="4"/>
      <c r="N42" s="4"/>
      <c r="O42" s="4"/>
      <c r="P42" s="4"/>
      <c r="Q42" s="4"/>
      <c r="R42" s="4"/>
      <c r="S42" s="4"/>
      <c r="T42" s="4"/>
      <c r="U42" s="4"/>
      <c r="V42" s="4"/>
      <c r="W42" s="4"/>
      <c r="X42" s="4"/>
      <c r="Y42" s="4"/>
      <c r="Z42" s="4"/>
    </row>
    <row r="43" spans="1:26">
      <c r="A43" s="87" t="s">
        <v>177</v>
      </c>
      <c r="B43" s="88">
        <f>Assumptions!G54</f>
        <v>31500</v>
      </c>
      <c r="C43" s="4"/>
      <c r="D43" s="4"/>
      <c r="E43" s="4"/>
      <c r="F43" s="4"/>
      <c r="G43" s="4"/>
      <c r="H43" s="4"/>
      <c r="I43" s="4"/>
      <c r="J43" s="4"/>
      <c r="K43" s="4"/>
      <c r="L43" s="4"/>
      <c r="M43" s="4"/>
      <c r="N43" s="4"/>
      <c r="O43" s="4"/>
      <c r="P43" s="4"/>
      <c r="Q43" s="4"/>
      <c r="R43" s="4"/>
      <c r="S43" s="4"/>
      <c r="T43" s="4"/>
      <c r="U43" s="4"/>
      <c r="V43" s="4"/>
      <c r="W43" s="4"/>
      <c r="X43" s="4"/>
      <c r="Y43" s="4"/>
      <c r="Z43" s="4"/>
    </row>
    <row r="44" spans="1:26">
      <c r="A44" s="87" t="s">
        <v>178</v>
      </c>
      <c r="B44" s="89">
        <f>Assumptions!G55*Assumptions!G57*Assumptions!G56</f>
        <v>54000</v>
      </c>
      <c r="C44" s="4"/>
      <c r="D44" s="4"/>
      <c r="E44" s="4"/>
      <c r="F44" s="4"/>
      <c r="G44" s="4"/>
      <c r="H44" s="4"/>
      <c r="I44" s="4"/>
      <c r="J44" s="4"/>
      <c r="K44" s="4"/>
      <c r="L44" s="4"/>
      <c r="M44" s="4"/>
      <c r="N44" s="4"/>
      <c r="O44" s="4"/>
      <c r="P44" s="4"/>
      <c r="Q44" s="4"/>
      <c r="R44" s="4"/>
      <c r="S44" s="4"/>
      <c r="T44" s="4"/>
      <c r="U44" s="4"/>
      <c r="V44" s="4"/>
      <c r="W44" s="4"/>
      <c r="X44" s="4"/>
      <c r="Y44" s="4"/>
      <c r="Z44" s="4"/>
    </row>
    <row r="45" spans="1:26">
      <c r="A45" s="85" t="s">
        <v>179</v>
      </c>
      <c r="B45" s="90">
        <f>SUM(B42:B44)</f>
        <v>146500</v>
      </c>
      <c r="C45" s="4"/>
      <c r="D45" s="4"/>
      <c r="E45" s="4"/>
      <c r="F45" s="4"/>
      <c r="G45" s="4"/>
      <c r="H45" s="4"/>
      <c r="I45" s="4"/>
      <c r="J45" s="4"/>
      <c r="K45" s="4"/>
      <c r="L45" s="4"/>
      <c r="M45" s="4"/>
      <c r="N45" s="4"/>
      <c r="O45" s="4"/>
      <c r="P45" s="4"/>
      <c r="Q45" s="4"/>
      <c r="R45" s="4"/>
      <c r="S45" s="4"/>
      <c r="T45" s="4"/>
      <c r="U45" s="4"/>
      <c r="V45" s="4"/>
      <c r="W45" s="96">
        <f>(Assumptions!G55*Assumptions!G56*Assumptions!G57+Assumptions!G54+Assumptions!G53+Assumptions!G49+Assumptions!G48+Assumptions!G47+Assumptions!G46+Assumptions!G42+Assumptions!G41)-'Year 1'!$B$45-'Year 1'!$B$40-'Year 1'!$B$34</f>
        <v>2177779.4143967992</v>
      </c>
      <c r="X45" s="4"/>
      <c r="Y45" s="4"/>
      <c r="Z45" s="4"/>
    </row>
    <row r="46" spans="1:26">
      <c r="A46" s="85" t="s">
        <v>180</v>
      </c>
      <c r="B46" s="88"/>
      <c r="C46" s="4"/>
      <c r="D46" s="4"/>
      <c r="E46" s="4"/>
      <c r="F46" s="4"/>
      <c r="G46" s="4"/>
      <c r="H46" s="4"/>
      <c r="I46" s="4"/>
      <c r="J46" s="4"/>
      <c r="K46" s="4"/>
      <c r="L46" s="4"/>
      <c r="M46" s="4"/>
      <c r="N46" s="4"/>
      <c r="O46" s="4"/>
      <c r="P46" s="4"/>
      <c r="Q46" s="4"/>
      <c r="R46" s="4"/>
      <c r="S46" s="4"/>
      <c r="T46" s="4"/>
      <c r="U46" s="4"/>
      <c r="V46" s="4"/>
      <c r="W46" s="4"/>
      <c r="X46" s="4"/>
      <c r="Y46" s="4"/>
      <c r="Z46" s="4"/>
    </row>
    <row r="47" spans="1:26">
      <c r="A47" s="87" t="s">
        <v>181</v>
      </c>
      <c r="B47" s="88">
        <f>ROUND((B34+B40+B45)*Assumptions!G60,0)</f>
        <v>767219</v>
      </c>
      <c r="C47" s="4"/>
      <c r="D47" s="4"/>
      <c r="E47" s="4"/>
      <c r="F47" s="4"/>
      <c r="G47" s="4"/>
      <c r="H47" s="4"/>
      <c r="I47" s="4"/>
      <c r="J47" s="4"/>
      <c r="K47" s="4"/>
      <c r="L47" s="4"/>
      <c r="M47" s="4"/>
      <c r="N47" s="4"/>
      <c r="O47" s="4"/>
      <c r="P47" s="4"/>
      <c r="Q47" s="4"/>
      <c r="R47" s="4"/>
      <c r="S47" s="4"/>
      <c r="T47" s="4"/>
      <c r="U47" s="4"/>
      <c r="V47" s="4"/>
      <c r="W47" s="4"/>
      <c r="X47" s="4"/>
      <c r="Y47" s="4"/>
      <c r="Z47" s="4"/>
    </row>
    <row r="48" spans="1:26">
      <c r="A48" s="87" t="s">
        <v>182</v>
      </c>
      <c r="B48" s="88">
        <f>ROUND((B34+B40+B45)*Assumptions!G61,0)</f>
        <v>55209</v>
      </c>
      <c r="C48" s="4"/>
      <c r="D48" s="4"/>
      <c r="E48" s="4"/>
      <c r="F48" s="4"/>
      <c r="G48" s="4"/>
      <c r="H48" s="4"/>
      <c r="I48" s="4"/>
      <c r="J48" s="4"/>
      <c r="K48" s="4"/>
      <c r="L48" s="4"/>
      <c r="M48" s="4"/>
      <c r="N48" s="4"/>
      <c r="O48" s="4"/>
      <c r="P48" s="4"/>
      <c r="Q48" s="4"/>
      <c r="R48" s="4"/>
      <c r="S48" s="4"/>
      <c r="T48" s="4"/>
      <c r="U48" s="4"/>
      <c r="V48" s="4"/>
      <c r="W48" s="4"/>
      <c r="X48" s="4"/>
      <c r="Y48" s="4"/>
      <c r="Z48" s="4"/>
    </row>
    <row r="49" spans="1:26">
      <c r="A49" s="87" t="s">
        <v>183</v>
      </c>
      <c r="B49" s="88">
        <f>ROUND((Assumptions!$G$43+Assumptions!$G$50)*Assumptions!G62,0)</f>
        <v>344100</v>
      </c>
      <c r="C49" s="4"/>
      <c r="D49" s="4"/>
      <c r="E49" s="4"/>
      <c r="F49" s="4"/>
      <c r="G49" s="4"/>
      <c r="H49" s="4"/>
      <c r="I49" s="4"/>
      <c r="J49" s="4"/>
      <c r="K49" s="4"/>
      <c r="L49" s="4"/>
      <c r="M49" s="4"/>
      <c r="N49" s="4"/>
      <c r="O49" s="4"/>
      <c r="P49" s="4"/>
      <c r="Q49" s="4"/>
      <c r="R49" s="4"/>
      <c r="S49" s="4"/>
      <c r="T49" s="4"/>
      <c r="U49" s="4"/>
      <c r="V49" s="4"/>
      <c r="W49" s="4"/>
      <c r="X49" s="4"/>
      <c r="Y49" s="4"/>
      <c r="Z49" s="4"/>
    </row>
    <row r="50" spans="1:26">
      <c r="A50" s="87" t="s">
        <v>184</v>
      </c>
      <c r="B50" s="88">
        <f>ROUND((Assumptions!$G$43+Assumptions!$G$50)*Assumptions!G63,0)</f>
        <v>20925</v>
      </c>
      <c r="C50" s="4"/>
      <c r="D50" s="4"/>
      <c r="E50" s="4"/>
      <c r="F50" s="4"/>
      <c r="G50" s="4"/>
      <c r="H50" s="4"/>
      <c r="I50" s="4"/>
      <c r="J50" s="4"/>
      <c r="K50" s="4"/>
      <c r="L50" s="4"/>
      <c r="M50" s="4"/>
      <c r="N50" s="4"/>
      <c r="O50" s="4"/>
      <c r="P50" s="4"/>
      <c r="Q50" s="4"/>
      <c r="R50" s="4"/>
      <c r="S50" s="4"/>
      <c r="T50" s="4"/>
      <c r="U50" s="4"/>
      <c r="V50" s="4"/>
      <c r="W50" s="4"/>
      <c r="X50" s="4"/>
      <c r="Y50" s="4"/>
      <c r="Z50" s="4"/>
    </row>
    <row r="51" spans="1:26">
      <c r="A51" s="87" t="s">
        <v>185</v>
      </c>
      <c r="B51" s="88">
        <f>ROUND((Assumptions!$G$43+Assumptions!$G$50)*Assumptions!G64,0)</f>
        <v>0</v>
      </c>
      <c r="C51" s="4"/>
      <c r="D51" s="4"/>
      <c r="E51" s="4"/>
      <c r="F51" s="4"/>
      <c r="G51" s="4"/>
      <c r="H51" s="4"/>
      <c r="I51" s="4"/>
      <c r="J51" s="4"/>
      <c r="K51" s="4"/>
      <c r="L51" s="4"/>
      <c r="M51" s="4"/>
      <c r="N51" s="4"/>
      <c r="O51" s="4"/>
      <c r="P51" s="4"/>
      <c r="Q51" s="4"/>
      <c r="R51" s="4"/>
      <c r="S51" s="4"/>
      <c r="T51" s="4"/>
      <c r="U51" s="4"/>
      <c r="V51" s="4"/>
      <c r="W51" s="4"/>
      <c r="X51" s="4"/>
      <c r="Y51" s="4"/>
      <c r="Z51" s="4"/>
    </row>
    <row r="52" spans="1:26">
      <c r="A52" s="65" t="s">
        <v>186</v>
      </c>
      <c r="B52" s="88">
        <f>ROUND((Assumptions!$G$43+Assumptions!$G$50)*Assumptions!G65,0)</f>
        <v>4650</v>
      </c>
      <c r="C52" s="4"/>
      <c r="D52" s="4"/>
      <c r="E52" s="4"/>
      <c r="F52" s="4"/>
      <c r="G52" s="4"/>
      <c r="H52" s="4"/>
      <c r="I52" s="4"/>
      <c r="J52" s="4"/>
      <c r="K52" s="4"/>
      <c r="L52" s="4"/>
      <c r="M52" s="4"/>
      <c r="N52" s="4"/>
      <c r="O52" s="4"/>
      <c r="P52" s="4"/>
      <c r="Q52" s="4"/>
      <c r="R52" s="4"/>
      <c r="S52" s="4"/>
      <c r="T52" s="4"/>
      <c r="U52" s="4"/>
      <c r="V52" s="4"/>
      <c r="W52" s="4"/>
      <c r="X52" s="4"/>
      <c r="Y52" s="4"/>
      <c r="Z52" s="4"/>
    </row>
    <row r="53" spans="1:26">
      <c r="A53" s="87" t="s">
        <v>33</v>
      </c>
      <c r="B53" s="89">
        <f>ROUND((Assumptions!$G$43+Assumptions!$G$50)*Assumptions!G66,0)</f>
        <v>0</v>
      </c>
      <c r="C53" s="4"/>
      <c r="D53" s="4"/>
      <c r="E53" s="4"/>
      <c r="F53" s="4"/>
      <c r="G53" s="4"/>
      <c r="H53" s="4"/>
      <c r="I53" s="4"/>
      <c r="J53" s="4"/>
      <c r="K53" s="4"/>
      <c r="L53" s="4"/>
      <c r="M53" s="4"/>
      <c r="N53" s="4"/>
      <c r="O53" s="4"/>
      <c r="P53" s="4"/>
      <c r="Q53" s="4"/>
      <c r="R53" s="4"/>
      <c r="S53" s="4"/>
      <c r="T53" s="4"/>
      <c r="U53" s="4"/>
      <c r="V53" s="4"/>
      <c r="W53" s="4"/>
      <c r="X53" s="4"/>
      <c r="Y53" s="4"/>
      <c r="Z53" s="4"/>
    </row>
    <row r="54" spans="1:26">
      <c r="A54" s="85" t="s">
        <v>266</v>
      </c>
      <c r="B54" s="98">
        <f>SUM(B47:B53)</f>
        <v>1192103</v>
      </c>
      <c r="C54" s="4"/>
      <c r="D54" s="4"/>
      <c r="E54" s="4"/>
      <c r="F54" s="4"/>
      <c r="G54" s="4"/>
      <c r="H54" s="4"/>
      <c r="I54" s="4"/>
      <c r="J54" s="4"/>
      <c r="K54" s="4"/>
      <c r="L54" s="4"/>
      <c r="M54" s="4"/>
      <c r="N54" s="4"/>
      <c r="O54" s="4"/>
      <c r="P54" s="4"/>
      <c r="Q54" s="4"/>
      <c r="R54" s="4"/>
      <c r="S54" s="4"/>
      <c r="T54" s="4"/>
      <c r="U54" s="4"/>
      <c r="V54" s="4"/>
      <c r="W54" s="4"/>
      <c r="X54" s="4"/>
      <c r="Y54" s="4"/>
      <c r="Z54" s="4"/>
    </row>
    <row r="55" spans="1:26">
      <c r="A55" s="85" t="s">
        <v>188</v>
      </c>
      <c r="B55" s="90">
        <f>B34+B40+B54+B45</f>
        <v>4999642.4143967992</v>
      </c>
      <c r="C55" s="4"/>
      <c r="D55" s="4"/>
      <c r="E55" s="4"/>
      <c r="F55" s="4"/>
      <c r="G55" s="4"/>
      <c r="H55" s="4"/>
      <c r="I55" s="4"/>
      <c r="J55" s="4"/>
      <c r="K55" s="4"/>
      <c r="L55" s="4"/>
      <c r="M55" s="4"/>
      <c r="N55" s="4"/>
      <c r="O55" s="4"/>
      <c r="P55" s="4"/>
      <c r="Q55" s="4"/>
      <c r="R55" s="4"/>
      <c r="S55" s="4"/>
      <c r="T55" s="4"/>
      <c r="U55" s="4"/>
      <c r="V55" s="4"/>
      <c r="W55" s="4"/>
      <c r="X55" s="4"/>
      <c r="Y55" s="4"/>
      <c r="Z55" s="4"/>
    </row>
    <row r="56" spans="1:26">
      <c r="A56" s="85"/>
      <c r="B56" s="90"/>
      <c r="C56" s="4"/>
      <c r="D56" s="4"/>
      <c r="E56" s="4"/>
      <c r="F56" s="4"/>
      <c r="G56" s="4"/>
      <c r="H56" s="4"/>
      <c r="I56" s="4"/>
      <c r="J56" s="4"/>
      <c r="K56" s="4"/>
      <c r="L56" s="4"/>
      <c r="M56" s="4"/>
      <c r="N56" s="4"/>
      <c r="O56" s="4"/>
      <c r="P56" s="4"/>
      <c r="Q56" s="4"/>
      <c r="R56" s="4"/>
      <c r="S56" s="4"/>
      <c r="T56" s="4"/>
      <c r="U56" s="4"/>
      <c r="V56" s="4"/>
      <c r="W56" s="4"/>
      <c r="X56" s="4"/>
      <c r="Y56" s="4"/>
      <c r="Z56" s="4"/>
    </row>
    <row r="57" spans="1:26">
      <c r="A57" s="85" t="s">
        <v>189</v>
      </c>
      <c r="B57" s="88"/>
      <c r="C57" s="4"/>
      <c r="D57" s="4"/>
      <c r="E57" s="4"/>
      <c r="F57" s="4"/>
      <c r="G57" s="4"/>
      <c r="H57" s="4"/>
      <c r="I57" s="4"/>
      <c r="J57" s="4"/>
      <c r="K57" s="4"/>
      <c r="L57" s="4"/>
      <c r="M57" s="4"/>
      <c r="N57" s="4"/>
      <c r="O57" s="4"/>
      <c r="P57" s="4"/>
      <c r="Q57" s="4"/>
      <c r="R57" s="4"/>
      <c r="S57" s="4"/>
      <c r="T57" s="4"/>
      <c r="U57" s="4"/>
      <c r="V57" s="4"/>
      <c r="W57" s="4"/>
      <c r="X57" s="4"/>
      <c r="Y57" s="4"/>
      <c r="Z57" s="4"/>
    </row>
    <row r="58" spans="1:26">
      <c r="A58" s="87" t="s">
        <v>58</v>
      </c>
      <c r="B58" s="88">
        <f>Assumptions!G69</f>
        <v>46158.700000000004</v>
      </c>
      <c r="C58" s="4"/>
      <c r="D58" s="4"/>
      <c r="E58" s="4"/>
      <c r="F58" s="4"/>
      <c r="G58" s="4"/>
      <c r="H58" s="4"/>
      <c r="I58" s="4"/>
      <c r="J58" s="4"/>
      <c r="K58" s="4"/>
      <c r="L58" s="4"/>
      <c r="M58" s="4"/>
      <c r="N58" s="4"/>
      <c r="O58" s="4"/>
      <c r="P58" s="4"/>
      <c r="Q58" s="4"/>
      <c r="R58" s="4"/>
      <c r="S58" s="4"/>
      <c r="T58" s="4"/>
      <c r="U58" s="4"/>
      <c r="V58" s="4"/>
      <c r="W58" s="4"/>
      <c r="X58" s="4"/>
      <c r="Y58" s="4"/>
      <c r="Z58" s="4"/>
    </row>
    <row r="59" spans="1:26">
      <c r="A59" s="87" t="s">
        <v>59</v>
      </c>
      <c r="B59" s="88">
        <f>Assumptions!G70</f>
        <v>3949.75</v>
      </c>
      <c r="C59" s="4"/>
      <c r="D59" s="4"/>
      <c r="E59" s="4"/>
      <c r="F59" s="4"/>
      <c r="G59" s="4"/>
      <c r="H59" s="4"/>
      <c r="I59" s="4"/>
      <c r="J59" s="4"/>
      <c r="K59" s="4"/>
      <c r="L59" s="4"/>
      <c r="M59" s="4"/>
      <c r="N59" s="4"/>
      <c r="O59" s="4"/>
      <c r="P59" s="4"/>
      <c r="Q59" s="4"/>
      <c r="R59" s="4"/>
      <c r="S59" s="4"/>
      <c r="T59" s="4"/>
      <c r="U59" s="4"/>
      <c r="V59" s="4"/>
      <c r="W59" s="4"/>
      <c r="X59" s="4"/>
      <c r="Y59" s="4"/>
      <c r="Z59" s="4"/>
    </row>
    <row r="60" spans="1:26">
      <c r="A60" s="87" t="s">
        <v>190</v>
      </c>
      <c r="B60" s="88">
        <f>Assumptions!G71</f>
        <v>9543.4499999999989</v>
      </c>
      <c r="C60" s="4"/>
      <c r="D60" s="4"/>
      <c r="E60" s="4"/>
      <c r="F60" s="4"/>
      <c r="G60" s="4"/>
      <c r="H60" s="4"/>
      <c r="I60" s="4"/>
      <c r="J60" s="4"/>
      <c r="K60" s="4"/>
      <c r="L60" s="4"/>
      <c r="M60" s="4"/>
      <c r="N60" s="4"/>
      <c r="O60" s="4"/>
      <c r="P60" s="4"/>
      <c r="Q60" s="4"/>
      <c r="R60" s="4"/>
      <c r="S60" s="4"/>
      <c r="T60" s="4"/>
      <c r="U60" s="4"/>
      <c r="V60" s="4"/>
      <c r="W60" s="4"/>
      <c r="X60" s="4"/>
      <c r="Y60" s="4"/>
      <c r="Z60" s="4"/>
    </row>
    <row r="61" spans="1:26">
      <c r="A61" s="87" t="s">
        <v>191</v>
      </c>
      <c r="B61" s="88">
        <f>Assumptions!G72</f>
        <v>15478.75</v>
      </c>
      <c r="C61" s="4"/>
      <c r="D61" s="4"/>
      <c r="E61" s="4"/>
      <c r="F61" s="4"/>
      <c r="G61" s="4"/>
      <c r="H61" s="4"/>
      <c r="I61" s="4"/>
      <c r="J61" s="4"/>
      <c r="K61" s="4"/>
      <c r="L61" s="4"/>
      <c r="M61" s="4"/>
      <c r="N61" s="4"/>
      <c r="O61" s="4"/>
      <c r="P61" s="4"/>
      <c r="Q61" s="4"/>
      <c r="R61" s="4"/>
      <c r="S61" s="4"/>
      <c r="T61" s="4"/>
      <c r="U61" s="4"/>
      <c r="V61" s="4"/>
      <c r="W61" s="4"/>
      <c r="X61" s="4"/>
      <c r="Y61" s="4"/>
      <c r="Z61" s="4"/>
    </row>
    <row r="62" spans="1:26">
      <c r="A62" s="87" t="s">
        <v>62</v>
      </c>
      <c r="B62" s="88">
        <f>Assumptions!G73</f>
        <v>8262.4500000000007</v>
      </c>
      <c r="C62" s="4"/>
      <c r="D62" s="4"/>
      <c r="E62" s="4"/>
      <c r="F62" s="4"/>
      <c r="G62" s="4"/>
      <c r="H62" s="4"/>
      <c r="I62" s="4"/>
      <c r="J62" s="4"/>
      <c r="K62" s="4"/>
      <c r="L62" s="4"/>
      <c r="M62" s="4"/>
      <c r="N62" s="4"/>
      <c r="O62" s="4"/>
      <c r="P62" s="4"/>
      <c r="Q62" s="4"/>
      <c r="R62" s="4"/>
      <c r="S62" s="4"/>
      <c r="T62" s="4"/>
      <c r="U62" s="4"/>
      <c r="V62" s="4"/>
      <c r="W62" s="4"/>
      <c r="X62" s="4"/>
      <c r="Y62" s="4"/>
      <c r="Z62" s="4"/>
    </row>
    <row r="63" spans="1:26">
      <c r="A63" s="87" t="s">
        <v>63</v>
      </c>
      <c r="B63" s="88">
        <f>Assumptions!G74</f>
        <v>559.97625000000005</v>
      </c>
      <c r="C63" s="4"/>
      <c r="D63" s="4"/>
      <c r="E63" s="4"/>
      <c r="F63" s="4"/>
      <c r="G63" s="4"/>
      <c r="H63" s="4"/>
      <c r="I63" s="4"/>
      <c r="J63" s="4"/>
      <c r="K63" s="4"/>
      <c r="L63" s="4"/>
      <c r="M63" s="4"/>
      <c r="N63" s="4"/>
      <c r="O63" s="4"/>
      <c r="P63" s="4"/>
      <c r="Q63" s="4"/>
      <c r="R63" s="4"/>
      <c r="S63" s="4"/>
      <c r="T63" s="4"/>
      <c r="U63" s="4"/>
      <c r="V63" s="4"/>
      <c r="W63" s="4"/>
      <c r="X63" s="4"/>
      <c r="Y63" s="4"/>
      <c r="Z63" s="4"/>
    </row>
    <row r="64" spans="1:26">
      <c r="A64" s="87" t="s">
        <v>65</v>
      </c>
      <c r="B64" s="88">
        <f>Assumptions!G75</f>
        <v>0</v>
      </c>
      <c r="C64" s="4"/>
      <c r="D64" s="4"/>
      <c r="E64" s="4"/>
      <c r="F64" s="4"/>
      <c r="G64" s="4"/>
      <c r="H64" s="4"/>
      <c r="I64" s="4"/>
      <c r="J64" s="4"/>
      <c r="K64" s="4"/>
      <c r="L64" s="4"/>
      <c r="M64" s="4"/>
      <c r="N64" s="4"/>
      <c r="O64" s="4"/>
      <c r="P64" s="4"/>
      <c r="Q64" s="4"/>
      <c r="R64" s="4"/>
      <c r="S64" s="4"/>
      <c r="T64" s="4"/>
      <c r="U64" s="4"/>
      <c r="V64" s="4"/>
      <c r="W64" s="4"/>
      <c r="X64" s="4"/>
      <c r="Y64" s="4"/>
      <c r="Z64" s="4"/>
    </row>
    <row r="65" spans="1:26">
      <c r="A65" s="87" t="s">
        <v>192</v>
      </c>
      <c r="B65" s="88">
        <f>Assumptions!G76</f>
        <v>0</v>
      </c>
      <c r="C65" s="4"/>
      <c r="D65" s="4"/>
      <c r="E65" s="4"/>
      <c r="F65" s="4"/>
      <c r="G65" s="4"/>
      <c r="H65" s="4"/>
      <c r="I65" s="4"/>
      <c r="J65" s="4"/>
      <c r="K65" s="4"/>
      <c r="L65" s="4"/>
      <c r="M65" s="4"/>
      <c r="N65" s="4"/>
      <c r="O65" s="4"/>
      <c r="P65" s="4"/>
      <c r="Q65" s="4"/>
      <c r="R65" s="4"/>
      <c r="S65" s="4"/>
      <c r="T65" s="4"/>
      <c r="U65" s="4"/>
      <c r="V65" s="4"/>
      <c r="W65" s="4"/>
      <c r="X65" s="4"/>
      <c r="Y65" s="4"/>
      <c r="Z65" s="4"/>
    </row>
    <row r="66" spans="1:26">
      <c r="A66" s="87" t="s">
        <v>49</v>
      </c>
      <c r="B66" s="89">
        <f>Assumptions!G77</f>
        <v>320250</v>
      </c>
      <c r="C66" s="4"/>
      <c r="D66" s="4"/>
      <c r="E66" s="4"/>
      <c r="F66" s="4"/>
      <c r="G66" s="4"/>
      <c r="H66" s="4"/>
      <c r="I66" s="4"/>
      <c r="J66" s="4"/>
      <c r="K66" s="4"/>
      <c r="L66" s="4"/>
      <c r="M66" s="4"/>
      <c r="N66" s="4"/>
      <c r="O66" s="4"/>
      <c r="P66" s="4"/>
      <c r="Q66" s="4"/>
      <c r="R66" s="4"/>
      <c r="S66" s="4"/>
      <c r="T66" s="4"/>
      <c r="U66" s="4"/>
      <c r="V66" s="4"/>
      <c r="W66" s="4"/>
      <c r="X66" s="4"/>
      <c r="Y66" s="4"/>
      <c r="Z66" s="4"/>
    </row>
    <row r="67" spans="1:26">
      <c r="A67" s="85" t="s">
        <v>193</v>
      </c>
      <c r="B67" s="90">
        <f>SUM(B58:B66)</f>
        <v>404203.07624999998</v>
      </c>
      <c r="C67" s="4"/>
      <c r="D67" s="4"/>
      <c r="E67" s="4"/>
      <c r="F67" s="4"/>
      <c r="G67" s="4"/>
      <c r="H67" s="4"/>
      <c r="I67" s="4"/>
      <c r="J67" s="4"/>
      <c r="K67" s="4"/>
      <c r="L67" s="4"/>
      <c r="M67" s="4"/>
      <c r="N67" s="4"/>
      <c r="O67" s="4"/>
      <c r="P67" s="4"/>
      <c r="Q67" s="4"/>
      <c r="R67" s="4"/>
      <c r="S67" s="4"/>
      <c r="T67" s="4"/>
      <c r="U67" s="4"/>
      <c r="V67" s="4"/>
      <c r="W67" s="4"/>
      <c r="X67" s="4"/>
      <c r="Y67" s="4"/>
      <c r="Z67" s="4"/>
    </row>
    <row r="68" spans="1:26">
      <c r="A68" s="85"/>
      <c r="B68" s="90"/>
      <c r="C68" s="4"/>
      <c r="D68" s="4"/>
      <c r="E68" s="4"/>
      <c r="F68" s="4"/>
      <c r="G68" s="4"/>
      <c r="H68" s="4"/>
      <c r="I68" s="4"/>
      <c r="J68" s="4"/>
      <c r="K68" s="4"/>
      <c r="L68" s="4"/>
      <c r="M68" s="4"/>
      <c r="N68" s="4"/>
      <c r="O68" s="4"/>
      <c r="P68" s="4"/>
      <c r="Q68" s="4"/>
      <c r="R68" s="4"/>
      <c r="S68" s="4"/>
      <c r="T68" s="4"/>
      <c r="U68" s="4"/>
      <c r="V68" s="4"/>
      <c r="W68" s="4"/>
      <c r="X68" s="4"/>
      <c r="Y68" s="4"/>
      <c r="Z68" s="4"/>
    </row>
    <row r="69" spans="1:26">
      <c r="A69" s="85" t="s">
        <v>194</v>
      </c>
      <c r="B69" s="88"/>
      <c r="C69" s="4"/>
      <c r="D69" s="4"/>
      <c r="E69" s="4"/>
      <c r="F69" s="4"/>
      <c r="G69" s="4"/>
      <c r="H69" s="4"/>
      <c r="I69" s="4"/>
      <c r="J69" s="4"/>
      <c r="K69" s="4"/>
      <c r="L69" s="4"/>
      <c r="M69" s="4"/>
      <c r="N69" s="4"/>
      <c r="O69" s="4"/>
      <c r="P69" s="4"/>
      <c r="Q69" s="4"/>
      <c r="R69" s="4"/>
      <c r="S69" s="4"/>
      <c r="T69" s="4"/>
      <c r="U69" s="4"/>
      <c r="V69" s="4"/>
      <c r="W69" s="4"/>
      <c r="X69" s="4"/>
      <c r="Y69" s="4"/>
      <c r="Z69" s="4"/>
    </row>
    <row r="70" spans="1:26">
      <c r="A70" s="87" t="s">
        <v>70</v>
      </c>
      <c r="B70" s="88">
        <f>Assumptions!G80</f>
        <v>20000</v>
      </c>
      <c r="C70" s="4"/>
      <c r="D70" s="4"/>
      <c r="E70" s="4"/>
      <c r="F70" s="4"/>
      <c r="G70" s="4"/>
      <c r="H70" s="4"/>
      <c r="I70" s="4"/>
      <c r="J70" s="4"/>
      <c r="K70" s="4"/>
      <c r="L70" s="4"/>
      <c r="M70" s="4"/>
      <c r="N70" s="4"/>
      <c r="O70" s="4"/>
      <c r="P70" s="4"/>
      <c r="Q70" s="4"/>
      <c r="R70" s="4"/>
      <c r="S70" s="4"/>
      <c r="T70" s="4"/>
      <c r="U70" s="4"/>
      <c r="V70" s="4"/>
      <c r="W70" s="4"/>
      <c r="X70" s="4"/>
      <c r="Y70" s="4"/>
      <c r="Z70" s="4"/>
    </row>
    <row r="71" spans="1:26">
      <c r="A71" s="87" t="s">
        <v>72</v>
      </c>
      <c r="B71" s="88">
        <f>Assumptions!G81</f>
        <v>3000</v>
      </c>
      <c r="C71" s="4"/>
      <c r="D71" s="4"/>
      <c r="E71" s="4"/>
      <c r="F71" s="4"/>
      <c r="G71" s="4"/>
      <c r="H71" s="4"/>
      <c r="I71" s="4"/>
      <c r="J71" s="4"/>
      <c r="K71" s="4"/>
      <c r="L71" s="4"/>
      <c r="M71" s="4"/>
      <c r="N71" s="4"/>
      <c r="O71" s="4"/>
      <c r="P71" s="4"/>
      <c r="Q71" s="4"/>
      <c r="R71" s="4"/>
      <c r="S71" s="4"/>
      <c r="T71" s="4"/>
      <c r="U71" s="4"/>
      <c r="V71" s="4"/>
      <c r="W71" s="4"/>
      <c r="X71" s="4"/>
      <c r="Y71" s="4"/>
      <c r="Z71" s="4"/>
    </row>
    <row r="72" spans="1:26">
      <c r="A72" s="87" t="s">
        <v>73</v>
      </c>
      <c r="B72" s="88">
        <f>Assumptions!G82</f>
        <v>3000</v>
      </c>
      <c r="C72" s="4"/>
      <c r="D72" s="4"/>
      <c r="E72" s="4"/>
      <c r="F72" s="4"/>
      <c r="G72" s="4"/>
      <c r="H72" s="4"/>
      <c r="I72" s="4"/>
      <c r="J72" s="4"/>
      <c r="K72" s="4"/>
      <c r="L72" s="4"/>
      <c r="M72" s="4"/>
      <c r="N72" s="4"/>
      <c r="O72" s="4"/>
      <c r="P72" s="4"/>
      <c r="Q72" s="4"/>
      <c r="R72" s="4"/>
      <c r="S72" s="4"/>
      <c r="T72" s="4"/>
      <c r="U72" s="4"/>
      <c r="V72" s="4"/>
      <c r="W72" s="4"/>
      <c r="X72" s="4"/>
      <c r="Y72" s="4"/>
      <c r="Z72" s="4"/>
    </row>
    <row r="73" spans="1:26">
      <c r="A73" s="87" t="s">
        <v>75</v>
      </c>
      <c r="B73" s="88">
        <f>Assumptions!G83</f>
        <v>16000</v>
      </c>
      <c r="C73" s="4"/>
      <c r="D73" s="4"/>
      <c r="E73" s="4"/>
      <c r="F73" s="4"/>
      <c r="G73" s="4"/>
      <c r="H73" s="4"/>
      <c r="I73" s="4"/>
      <c r="J73" s="4"/>
      <c r="K73" s="4"/>
      <c r="L73" s="4"/>
      <c r="M73" s="4"/>
      <c r="N73" s="4"/>
      <c r="O73" s="4"/>
      <c r="P73" s="4"/>
      <c r="Q73" s="4"/>
      <c r="R73" s="4"/>
      <c r="S73" s="4"/>
      <c r="T73" s="4"/>
      <c r="U73" s="4"/>
      <c r="V73" s="4"/>
      <c r="W73" s="4"/>
      <c r="X73" s="4"/>
      <c r="Y73" s="4"/>
      <c r="Z73" s="4"/>
    </row>
    <row r="74" spans="1:26">
      <c r="A74" s="87" t="s">
        <v>76</v>
      </c>
      <c r="B74" s="89">
        <f>Assumptions!G84</f>
        <v>0</v>
      </c>
      <c r="C74" s="4"/>
      <c r="D74" s="4"/>
      <c r="E74" s="4"/>
      <c r="F74" s="4"/>
      <c r="G74" s="4"/>
      <c r="H74" s="4"/>
      <c r="I74" s="4"/>
      <c r="J74" s="4"/>
      <c r="K74" s="4"/>
      <c r="L74" s="4"/>
      <c r="M74" s="4"/>
      <c r="N74" s="4"/>
      <c r="O74" s="4"/>
      <c r="P74" s="4"/>
      <c r="Q74" s="4"/>
      <c r="R74" s="4"/>
      <c r="S74" s="4"/>
      <c r="T74" s="4"/>
      <c r="U74" s="4"/>
      <c r="V74" s="4"/>
      <c r="W74" s="4"/>
      <c r="X74" s="4"/>
      <c r="Y74" s="4"/>
      <c r="Z74" s="4"/>
    </row>
    <row r="75" spans="1:26">
      <c r="A75" s="85" t="s">
        <v>195</v>
      </c>
      <c r="B75" s="90">
        <f>SUM(B70:B74)</f>
        <v>42000</v>
      </c>
      <c r="C75" s="4"/>
      <c r="D75" s="4"/>
      <c r="E75" s="4"/>
      <c r="F75" s="4"/>
      <c r="G75" s="4"/>
      <c r="H75" s="4"/>
      <c r="I75" s="4"/>
      <c r="J75" s="4"/>
      <c r="K75" s="4"/>
      <c r="L75" s="4"/>
      <c r="M75" s="4"/>
      <c r="N75" s="4"/>
      <c r="O75" s="4"/>
      <c r="P75" s="4"/>
      <c r="Q75" s="4"/>
      <c r="R75" s="4"/>
      <c r="S75" s="4"/>
      <c r="T75" s="4"/>
      <c r="U75" s="4"/>
      <c r="V75" s="4"/>
      <c r="W75" s="4"/>
      <c r="X75" s="4"/>
      <c r="Y75" s="4"/>
      <c r="Z75" s="4"/>
    </row>
    <row r="76" spans="1:26">
      <c r="A76" s="85"/>
      <c r="B76" s="90"/>
      <c r="C76" s="4"/>
      <c r="D76" s="4"/>
      <c r="E76" s="4"/>
      <c r="F76" s="4"/>
      <c r="G76" s="4"/>
      <c r="H76" s="4"/>
      <c r="I76" s="4"/>
      <c r="J76" s="4"/>
      <c r="K76" s="4"/>
      <c r="L76" s="4"/>
      <c r="M76" s="4"/>
      <c r="N76" s="4"/>
      <c r="O76" s="4"/>
      <c r="P76" s="4"/>
      <c r="Q76" s="4"/>
      <c r="R76" s="4"/>
      <c r="S76" s="4"/>
      <c r="T76" s="4"/>
      <c r="U76" s="4"/>
      <c r="V76" s="4"/>
      <c r="W76" s="4"/>
      <c r="X76" s="4"/>
      <c r="Y76" s="4"/>
      <c r="Z76" s="4"/>
    </row>
    <row r="77" spans="1:26">
      <c r="A77" s="85" t="s">
        <v>196</v>
      </c>
      <c r="B77" s="88"/>
      <c r="C77" s="4"/>
      <c r="D77" s="4"/>
      <c r="E77" s="4"/>
      <c r="F77" s="4"/>
      <c r="G77" s="4"/>
      <c r="H77" s="4"/>
      <c r="I77" s="4"/>
      <c r="J77" s="4"/>
      <c r="K77" s="4"/>
      <c r="L77" s="4"/>
      <c r="M77" s="4"/>
      <c r="N77" s="4"/>
      <c r="O77" s="4"/>
      <c r="P77" s="4"/>
      <c r="Q77" s="4"/>
      <c r="R77" s="4"/>
      <c r="S77" s="4"/>
      <c r="T77" s="4"/>
      <c r="U77" s="4"/>
      <c r="V77" s="4"/>
      <c r="W77" s="4"/>
      <c r="X77" s="4"/>
      <c r="Y77" s="4"/>
      <c r="Z77" s="4"/>
    </row>
    <row r="78" spans="1:26">
      <c r="A78" s="87" t="s">
        <v>79</v>
      </c>
      <c r="B78" s="88">
        <f>Assumptions!G87</f>
        <v>0</v>
      </c>
      <c r="C78" s="4"/>
      <c r="D78" s="4"/>
      <c r="E78" s="4"/>
      <c r="F78" s="4"/>
      <c r="G78" s="4"/>
      <c r="H78" s="4"/>
      <c r="I78" s="4"/>
      <c r="J78" s="4"/>
      <c r="K78" s="4"/>
      <c r="L78" s="4"/>
      <c r="M78" s="4"/>
      <c r="N78" s="4"/>
      <c r="O78" s="4"/>
      <c r="P78" s="4"/>
      <c r="Q78" s="4"/>
      <c r="R78" s="4"/>
      <c r="S78" s="4"/>
      <c r="T78" s="4"/>
      <c r="U78" s="4"/>
      <c r="V78" s="4"/>
      <c r="W78" s="4"/>
      <c r="X78" s="4"/>
      <c r="Y78" s="4"/>
      <c r="Z78" s="4"/>
    </row>
    <row r="79" spans="1:26">
      <c r="A79" s="87" t="s">
        <v>82</v>
      </c>
      <c r="B79" s="89">
        <f>Assumptions!G88</f>
        <v>0</v>
      </c>
      <c r="C79" s="4"/>
      <c r="D79" s="4"/>
      <c r="E79" s="4"/>
      <c r="F79" s="4"/>
      <c r="G79" s="4"/>
      <c r="H79" s="4"/>
      <c r="I79" s="4"/>
      <c r="J79" s="4"/>
      <c r="K79" s="4"/>
      <c r="L79" s="4"/>
      <c r="M79" s="4"/>
      <c r="N79" s="4"/>
      <c r="O79" s="4"/>
      <c r="P79" s="4"/>
      <c r="Q79" s="4"/>
      <c r="R79" s="4"/>
      <c r="S79" s="4"/>
      <c r="T79" s="4"/>
      <c r="U79" s="4"/>
      <c r="V79" s="4"/>
      <c r="W79" s="4"/>
      <c r="X79" s="4"/>
      <c r="Y79" s="4"/>
      <c r="Z79" s="4"/>
    </row>
    <row r="80" spans="1:26">
      <c r="A80" s="85" t="s">
        <v>197</v>
      </c>
      <c r="B80" s="90">
        <f>SUM(B78:B79)</f>
        <v>0</v>
      </c>
      <c r="C80" s="4"/>
      <c r="D80" s="4"/>
      <c r="E80" s="4"/>
      <c r="F80" s="4"/>
      <c r="G80" s="4"/>
      <c r="H80" s="4"/>
      <c r="I80" s="4"/>
      <c r="J80" s="4"/>
      <c r="K80" s="4"/>
      <c r="L80" s="4"/>
      <c r="M80" s="4"/>
      <c r="N80" s="4"/>
      <c r="O80" s="4"/>
      <c r="P80" s="4"/>
      <c r="Q80" s="4"/>
      <c r="R80" s="4"/>
      <c r="S80" s="4"/>
      <c r="T80" s="4"/>
      <c r="U80" s="4"/>
      <c r="V80" s="4"/>
      <c r="W80" s="4"/>
      <c r="X80" s="4"/>
      <c r="Y80" s="4"/>
      <c r="Z80" s="4"/>
    </row>
    <row r="81" spans="1:26">
      <c r="A81" s="85"/>
      <c r="B81" s="90"/>
      <c r="C81" s="4"/>
      <c r="D81" s="4"/>
      <c r="E81" s="4"/>
      <c r="F81" s="4"/>
      <c r="G81" s="4"/>
      <c r="H81" s="4"/>
      <c r="I81" s="4"/>
      <c r="J81" s="4"/>
      <c r="K81" s="4"/>
      <c r="L81" s="4"/>
      <c r="M81" s="4"/>
      <c r="N81" s="4"/>
      <c r="O81" s="4"/>
      <c r="P81" s="4"/>
      <c r="Q81" s="4"/>
      <c r="R81" s="4"/>
      <c r="S81" s="4"/>
      <c r="T81" s="4"/>
      <c r="U81" s="4"/>
      <c r="V81" s="4"/>
      <c r="W81" s="4"/>
      <c r="X81" s="4"/>
      <c r="Y81" s="4"/>
      <c r="Z81" s="4"/>
    </row>
    <row r="82" spans="1:26">
      <c r="A82" s="85" t="s">
        <v>198</v>
      </c>
      <c r="B82" s="88"/>
      <c r="C82" s="4"/>
      <c r="D82" s="4"/>
      <c r="E82" s="4"/>
      <c r="F82" s="4"/>
      <c r="G82" s="4"/>
      <c r="H82" s="4"/>
      <c r="I82" s="4"/>
      <c r="J82" s="4"/>
      <c r="K82" s="4"/>
      <c r="L82" s="4"/>
      <c r="M82" s="4"/>
      <c r="N82" s="4"/>
      <c r="O82" s="4"/>
      <c r="P82" s="4"/>
      <c r="Q82" s="4"/>
      <c r="R82" s="4"/>
      <c r="S82" s="4"/>
      <c r="T82" s="4"/>
      <c r="U82" s="4"/>
      <c r="V82" s="4"/>
      <c r="W82" s="4"/>
      <c r="X82" s="4"/>
      <c r="Y82" s="4"/>
      <c r="Z82" s="4"/>
    </row>
    <row r="83" spans="1:26">
      <c r="A83" s="87" t="s">
        <v>84</v>
      </c>
      <c r="B83" s="88">
        <f>Assumptions!G91</f>
        <v>0</v>
      </c>
      <c r="C83" s="4"/>
      <c r="D83" s="4"/>
      <c r="E83" s="4"/>
      <c r="F83" s="4"/>
      <c r="G83" s="4"/>
      <c r="H83" s="4"/>
      <c r="I83" s="4"/>
      <c r="J83" s="4"/>
      <c r="K83" s="4"/>
      <c r="L83" s="4"/>
      <c r="M83" s="4"/>
      <c r="N83" s="4"/>
      <c r="O83" s="4"/>
      <c r="P83" s="4"/>
      <c r="Q83" s="4"/>
      <c r="R83" s="4"/>
      <c r="S83" s="4"/>
      <c r="T83" s="4"/>
      <c r="U83" s="4"/>
      <c r="V83" s="4"/>
      <c r="W83" s="4"/>
      <c r="X83" s="4"/>
      <c r="Y83" s="4"/>
      <c r="Z83" s="4"/>
    </row>
    <row r="84" spans="1:26">
      <c r="A84" s="87" t="s">
        <v>86</v>
      </c>
      <c r="B84" s="88">
        <f>Assumptions!G92</f>
        <v>0</v>
      </c>
      <c r="C84" s="4"/>
      <c r="D84" s="4"/>
      <c r="E84" s="4"/>
      <c r="F84" s="4"/>
      <c r="G84" s="4"/>
      <c r="H84" s="4"/>
      <c r="I84" s="4"/>
      <c r="J84" s="4"/>
      <c r="K84" s="4"/>
      <c r="L84" s="4"/>
      <c r="M84" s="4"/>
      <c r="N84" s="4"/>
      <c r="O84" s="4"/>
      <c r="P84" s="4"/>
      <c r="Q84" s="4"/>
      <c r="R84" s="4"/>
      <c r="S84" s="4"/>
      <c r="T84" s="4"/>
      <c r="U84" s="4"/>
      <c r="V84" s="4"/>
      <c r="W84" s="4"/>
      <c r="X84" s="4"/>
      <c r="Y84" s="4"/>
      <c r="Z84" s="4"/>
    </row>
    <row r="85" spans="1:26">
      <c r="A85" s="87" t="s">
        <v>90</v>
      </c>
      <c r="B85" s="89">
        <f>Assumptions!G93</f>
        <v>0</v>
      </c>
      <c r="C85" s="4"/>
      <c r="D85" s="4"/>
      <c r="E85" s="4"/>
      <c r="F85" s="4"/>
      <c r="G85" s="4"/>
      <c r="H85" s="4"/>
      <c r="I85" s="4"/>
      <c r="J85" s="4"/>
      <c r="K85" s="4"/>
      <c r="L85" s="4"/>
      <c r="M85" s="4"/>
      <c r="N85" s="4"/>
      <c r="O85" s="4"/>
      <c r="P85" s="4"/>
      <c r="Q85" s="4"/>
      <c r="R85" s="4"/>
      <c r="S85" s="4"/>
      <c r="T85" s="4"/>
      <c r="U85" s="4"/>
      <c r="V85" s="4"/>
      <c r="W85" s="4"/>
      <c r="X85" s="4"/>
      <c r="Y85" s="4"/>
      <c r="Z85" s="4"/>
    </row>
    <row r="86" spans="1:26">
      <c r="A86" s="85" t="s">
        <v>199</v>
      </c>
      <c r="B86" s="90">
        <f>SUM(B83:B85)</f>
        <v>0</v>
      </c>
      <c r="C86" s="4"/>
      <c r="D86" s="4"/>
      <c r="E86" s="4"/>
      <c r="F86" s="4"/>
      <c r="G86" s="4"/>
      <c r="H86" s="4"/>
      <c r="I86" s="4"/>
      <c r="J86" s="4"/>
      <c r="K86" s="4"/>
      <c r="L86" s="4"/>
      <c r="M86" s="4"/>
      <c r="N86" s="4"/>
      <c r="O86" s="4"/>
      <c r="P86" s="4"/>
      <c r="Q86" s="4"/>
      <c r="R86" s="4"/>
      <c r="S86" s="4"/>
      <c r="T86" s="4"/>
      <c r="U86" s="4"/>
      <c r="V86" s="4"/>
      <c r="W86" s="4"/>
      <c r="X86" s="4"/>
      <c r="Y86" s="4"/>
      <c r="Z86" s="4"/>
    </row>
    <row r="87" spans="1:26">
      <c r="A87" s="85"/>
      <c r="B87" s="90"/>
      <c r="C87" s="4"/>
      <c r="D87" s="4"/>
      <c r="E87" s="4"/>
      <c r="F87" s="4"/>
      <c r="G87" s="4"/>
      <c r="H87" s="4"/>
      <c r="I87" s="4"/>
      <c r="J87" s="4"/>
      <c r="K87" s="4"/>
      <c r="L87" s="4"/>
      <c r="M87" s="4"/>
      <c r="N87" s="4"/>
      <c r="O87" s="4"/>
      <c r="P87" s="4"/>
      <c r="Q87" s="4"/>
      <c r="R87" s="4"/>
      <c r="S87" s="4"/>
      <c r="T87" s="4"/>
      <c r="U87" s="4"/>
      <c r="V87" s="4"/>
      <c r="W87" s="4"/>
      <c r="X87" s="4"/>
      <c r="Y87" s="4"/>
      <c r="Z87" s="4"/>
    </row>
    <row r="88" spans="1:26">
      <c r="A88" s="85" t="s">
        <v>200</v>
      </c>
      <c r="B88" s="88"/>
      <c r="C88" s="4"/>
      <c r="D88" s="4"/>
      <c r="E88" s="4"/>
      <c r="F88" s="4"/>
      <c r="G88" s="4"/>
      <c r="H88" s="4"/>
      <c r="I88" s="4"/>
      <c r="J88" s="4"/>
      <c r="K88" s="4"/>
      <c r="L88" s="4"/>
      <c r="M88" s="4"/>
      <c r="N88" s="4"/>
      <c r="O88" s="4"/>
      <c r="P88" s="4"/>
      <c r="Q88" s="4"/>
      <c r="R88" s="4"/>
      <c r="S88" s="4"/>
      <c r="T88" s="4"/>
      <c r="U88" s="4"/>
      <c r="V88" s="4"/>
      <c r="W88" s="4"/>
      <c r="X88" s="4"/>
      <c r="Y88" s="4"/>
      <c r="Z88" s="4"/>
    </row>
    <row r="89" spans="1:26">
      <c r="A89" s="87" t="s">
        <v>93</v>
      </c>
      <c r="B89" s="88">
        <f>Assumptions!G96</f>
        <v>0</v>
      </c>
      <c r="C89" s="4"/>
      <c r="D89" s="4"/>
      <c r="E89" s="4"/>
      <c r="F89" s="4"/>
      <c r="G89" s="4"/>
      <c r="H89" s="4"/>
      <c r="I89" s="4"/>
      <c r="J89" s="4"/>
      <c r="K89" s="4"/>
      <c r="L89" s="4"/>
      <c r="M89" s="4"/>
      <c r="N89" s="4"/>
      <c r="O89" s="4"/>
      <c r="P89" s="4"/>
      <c r="Q89" s="4"/>
      <c r="R89" s="4"/>
      <c r="S89" s="4"/>
      <c r="T89" s="4"/>
      <c r="U89" s="4"/>
      <c r="V89" s="4"/>
      <c r="W89" s="4"/>
      <c r="X89" s="4"/>
      <c r="Y89" s="4"/>
      <c r="Z89" s="4"/>
    </row>
    <row r="90" spans="1:26">
      <c r="A90" s="87" t="s">
        <v>95</v>
      </c>
      <c r="B90" s="88">
        <f>Assumptions!G97</f>
        <v>0</v>
      </c>
      <c r="C90" s="4"/>
      <c r="D90" s="4"/>
      <c r="E90" s="4"/>
      <c r="F90" s="4"/>
      <c r="G90" s="4"/>
      <c r="H90" s="4"/>
      <c r="I90" s="4"/>
      <c r="J90" s="4"/>
      <c r="K90" s="4"/>
      <c r="L90" s="4"/>
      <c r="M90" s="4"/>
      <c r="N90" s="4"/>
      <c r="O90" s="4"/>
      <c r="P90" s="4"/>
      <c r="Q90" s="4"/>
      <c r="R90" s="4"/>
      <c r="S90" s="4"/>
      <c r="T90" s="4"/>
      <c r="U90" s="4"/>
      <c r="V90" s="4"/>
      <c r="W90" s="4"/>
      <c r="X90" s="4"/>
      <c r="Y90" s="4"/>
      <c r="Z90" s="4"/>
    </row>
    <row r="91" spans="1:26">
      <c r="A91" s="87" t="s">
        <v>201</v>
      </c>
      <c r="B91" s="89">
        <f>Assumptions!G98</f>
        <v>0</v>
      </c>
      <c r="C91" s="4"/>
      <c r="D91" s="4"/>
      <c r="E91" s="4"/>
      <c r="F91" s="4"/>
      <c r="G91" s="4"/>
      <c r="H91" s="4"/>
      <c r="I91" s="4"/>
      <c r="J91" s="4"/>
      <c r="K91" s="4"/>
      <c r="L91" s="4"/>
      <c r="M91" s="4"/>
      <c r="N91" s="4"/>
      <c r="O91" s="4"/>
      <c r="P91" s="4"/>
      <c r="Q91" s="4"/>
      <c r="R91" s="4"/>
      <c r="S91" s="4"/>
      <c r="T91" s="4"/>
      <c r="U91" s="4"/>
      <c r="V91" s="4"/>
      <c r="W91" s="4"/>
      <c r="X91" s="4"/>
      <c r="Y91" s="4"/>
      <c r="Z91" s="4"/>
    </row>
    <row r="92" spans="1:26">
      <c r="A92" s="85" t="s">
        <v>202</v>
      </c>
      <c r="B92" s="90">
        <f>SUM(B89:B91)</f>
        <v>0</v>
      </c>
      <c r="C92" s="4"/>
      <c r="D92" s="4"/>
      <c r="E92" s="4"/>
      <c r="F92" s="4"/>
      <c r="G92" s="4"/>
      <c r="H92" s="4"/>
      <c r="I92" s="4"/>
      <c r="J92" s="4"/>
      <c r="K92" s="4"/>
      <c r="L92" s="4"/>
      <c r="M92" s="4"/>
      <c r="N92" s="4"/>
      <c r="O92" s="4"/>
      <c r="P92" s="4"/>
      <c r="Q92" s="4"/>
      <c r="R92" s="4"/>
      <c r="S92" s="4"/>
      <c r="T92" s="4"/>
      <c r="U92" s="4"/>
      <c r="V92" s="4"/>
      <c r="W92" s="4"/>
      <c r="X92" s="4"/>
      <c r="Y92" s="4"/>
      <c r="Z92" s="4"/>
    </row>
    <row r="93" spans="1:26">
      <c r="A93" s="85"/>
      <c r="B93" s="90"/>
      <c r="C93" s="4"/>
      <c r="D93" s="4"/>
      <c r="E93" s="4"/>
      <c r="F93" s="4"/>
      <c r="G93" s="4"/>
      <c r="H93" s="4"/>
      <c r="I93" s="4"/>
      <c r="J93" s="4"/>
      <c r="K93" s="4"/>
      <c r="L93" s="4"/>
      <c r="M93" s="4"/>
      <c r="N93" s="4"/>
      <c r="O93" s="4"/>
      <c r="P93" s="4"/>
      <c r="Q93" s="4"/>
      <c r="R93" s="4"/>
      <c r="S93" s="4"/>
      <c r="T93" s="4"/>
      <c r="U93" s="4"/>
      <c r="V93" s="4"/>
      <c r="W93" s="4"/>
      <c r="X93" s="4"/>
      <c r="Y93" s="4"/>
      <c r="Z93" s="4"/>
    </row>
    <row r="94" spans="1:26">
      <c r="A94" s="85" t="s">
        <v>203</v>
      </c>
      <c r="B94" s="88"/>
      <c r="C94" s="4"/>
      <c r="D94" s="4"/>
      <c r="E94" s="4"/>
      <c r="F94" s="4"/>
      <c r="G94" s="4"/>
      <c r="H94" s="4"/>
      <c r="I94" s="4"/>
      <c r="J94" s="4"/>
      <c r="K94" s="4"/>
      <c r="L94" s="4"/>
      <c r="M94" s="4"/>
      <c r="N94" s="4"/>
      <c r="O94" s="4"/>
      <c r="P94" s="4"/>
      <c r="Q94" s="4"/>
      <c r="R94" s="4"/>
      <c r="S94" s="4"/>
      <c r="T94" s="4"/>
      <c r="U94" s="4"/>
      <c r="V94" s="4"/>
      <c r="W94" s="4"/>
      <c r="X94" s="4"/>
      <c r="Y94" s="4"/>
      <c r="Z94" s="4"/>
    </row>
    <row r="95" spans="1:26">
      <c r="A95" s="87" t="s">
        <v>98</v>
      </c>
      <c r="B95" s="88">
        <f>Assumptions!G101</f>
        <v>0</v>
      </c>
      <c r="C95" s="4"/>
      <c r="D95" s="4"/>
      <c r="E95" s="4"/>
      <c r="F95" s="4"/>
      <c r="G95" s="4"/>
      <c r="H95" s="4"/>
      <c r="I95" s="4"/>
      <c r="J95" s="4"/>
      <c r="K95" s="4"/>
      <c r="L95" s="4"/>
      <c r="M95" s="4"/>
      <c r="N95" s="4"/>
      <c r="O95" s="4"/>
      <c r="P95" s="4"/>
      <c r="Q95" s="4"/>
      <c r="R95" s="4"/>
      <c r="S95" s="4"/>
      <c r="T95" s="4"/>
      <c r="U95" s="4"/>
      <c r="V95" s="4"/>
      <c r="W95" s="4"/>
      <c r="X95" s="4"/>
      <c r="Y95" s="4"/>
      <c r="Z95" s="4"/>
    </row>
    <row r="96" spans="1:26">
      <c r="A96" s="87" t="s">
        <v>99</v>
      </c>
      <c r="B96" s="88">
        <f>Assumptions!G102</f>
        <v>0</v>
      </c>
      <c r="C96" s="4"/>
      <c r="D96" s="4"/>
      <c r="E96" s="4"/>
      <c r="F96" s="4"/>
      <c r="G96" s="4"/>
      <c r="H96" s="4"/>
      <c r="I96" s="4"/>
      <c r="J96" s="4"/>
      <c r="K96" s="4"/>
      <c r="L96" s="4"/>
      <c r="M96" s="4"/>
      <c r="N96" s="4"/>
      <c r="O96" s="4"/>
      <c r="P96" s="4"/>
      <c r="Q96" s="4"/>
      <c r="R96" s="4"/>
      <c r="S96" s="4"/>
      <c r="T96" s="4"/>
      <c r="U96" s="4"/>
      <c r="V96" s="4"/>
      <c r="W96" s="4"/>
      <c r="X96" s="4"/>
      <c r="Y96" s="4"/>
      <c r="Z96" s="4"/>
    </row>
    <row r="97" spans="1:26">
      <c r="A97" s="87" t="s">
        <v>100</v>
      </c>
      <c r="B97" s="89">
        <f>Assumptions!G103</f>
        <v>0</v>
      </c>
      <c r="C97" s="4"/>
      <c r="D97" s="4"/>
      <c r="E97" s="4"/>
      <c r="F97" s="4"/>
      <c r="G97" s="4"/>
      <c r="H97" s="4"/>
      <c r="I97" s="4"/>
      <c r="J97" s="4"/>
      <c r="K97" s="4"/>
      <c r="L97" s="4"/>
      <c r="M97" s="4"/>
      <c r="N97" s="4"/>
      <c r="O97" s="4"/>
      <c r="P97" s="4"/>
      <c r="Q97" s="4"/>
      <c r="R97" s="4"/>
      <c r="S97" s="4"/>
      <c r="T97" s="4"/>
      <c r="U97" s="4"/>
      <c r="V97" s="4"/>
      <c r="W97" s="4"/>
      <c r="X97" s="4"/>
      <c r="Y97" s="4"/>
      <c r="Z97" s="4"/>
    </row>
    <row r="98" spans="1:26">
      <c r="A98" s="85" t="s">
        <v>204</v>
      </c>
      <c r="B98" s="90">
        <f>SUM(B95:B97)</f>
        <v>0</v>
      </c>
      <c r="C98" s="4"/>
      <c r="D98" s="4"/>
      <c r="E98" s="4"/>
      <c r="F98" s="4"/>
      <c r="G98" s="4"/>
      <c r="H98" s="4"/>
      <c r="I98" s="4"/>
      <c r="J98" s="4"/>
      <c r="K98" s="4"/>
      <c r="L98" s="4"/>
      <c r="M98" s="4"/>
      <c r="N98" s="4"/>
      <c r="O98" s="4"/>
      <c r="P98" s="4"/>
      <c r="Q98" s="4"/>
      <c r="R98" s="4"/>
      <c r="S98" s="4"/>
      <c r="T98" s="4"/>
      <c r="U98" s="4"/>
      <c r="V98" s="4"/>
      <c r="W98" s="4"/>
      <c r="X98" s="4"/>
      <c r="Y98" s="4"/>
      <c r="Z98" s="4"/>
    </row>
    <row r="99" spans="1:26">
      <c r="A99" s="85"/>
      <c r="B99" s="90"/>
      <c r="C99" s="4"/>
      <c r="D99" s="4"/>
      <c r="E99" s="4"/>
      <c r="F99" s="4"/>
      <c r="G99" s="4"/>
      <c r="H99" s="4"/>
      <c r="I99" s="4"/>
      <c r="J99" s="4"/>
      <c r="K99" s="4"/>
      <c r="L99" s="4"/>
      <c r="M99" s="4"/>
      <c r="N99" s="4"/>
      <c r="O99" s="4"/>
      <c r="P99" s="4"/>
      <c r="Q99" s="4"/>
      <c r="R99" s="4"/>
      <c r="S99" s="4"/>
      <c r="T99" s="4"/>
      <c r="U99" s="4"/>
      <c r="V99" s="4"/>
      <c r="W99" s="4"/>
      <c r="X99" s="4"/>
      <c r="Y99" s="4"/>
      <c r="Z99" s="4"/>
    </row>
    <row r="100" spans="1:26">
      <c r="A100" s="85" t="s">
        <v>205</v>
      </c>
      <c r="B100" s="88"/>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87" t="s">
        <v>206</v>
      </c>
      <c r="B101" s="88">
        <f>Assumptions!G106</f>
        <v>0</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87" t="s">
        <v>107</v>
      </c>
      <c r="B102" s="88">
        <f>Assumptions!G107</f>
        <v>0</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87" t="s">
        <v>103</v>
      </c>
      <c r="B103" s="88">
        <f>Assumptions!G108</f>
        <v>0</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87" t="s">
        <v>109</v>
      </c>
      <c r="B104" s="88">
        <f>Assumptions!G109</f>
        <v>0</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87" t="s">
        <v>207</v>
      </c>
      <c r="B105" s="89">
        <f>Assumptions!G110</f>
        <v>0</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85" t="s">
        <v>208</v>
      </c>
      <c r="B106" s="90">
        <f>SUM(B101:B105)</f>
        <v>0</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85"/>
      <c r="B107" s="90"/>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85" t="s">
        <v>209</v>
      </c>
      <c r="B108" s="88"/>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87" t="s">
        <v>210</v>
      </c>
      <c r="B109" s="88">
        <f>Assumptions!G113</f>
        <v>0</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87" t="s">
        <v>113</v>
      </c>
      <c r="B110" s="88">
        <f>Assumptions!G114</f>
        <v>0</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87" t="s">
        <v>115</v>
      </c>
      <c r="B111" s="88">
        <f>Assumptions!G115</f>
        <v>0</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85" t="s">
        <v>211</v>
      </c>
      <c r="B112" s="88">
        <f>SUM(B109:B111)</f>
        <v>0</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87"/>
      <c r="B113" s="88"/>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85" t="s">
        <v>212</v>
      </c>
      <c r="B114" s="88"/>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5">
      <c r="A115" s="99" t="s">
        <v>213</v>
      </c>
      <c r="B115" s="88">
        <f>Assumptions!G118</f>
        <v>0</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68" t="s">
        <v>119</v>
      </c>
      <c r="B116" s="88">
        <f>Assumptions!G119</f>
        <v>0</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68" t="s">
        <v>120</v>
      </c>
      <c r="B117" s="88">
        <f>Assumptions!G120</f>
        <v>0</v>
      </c>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65" t="s">
        <v>122</v>
      </c>
      <c r="B118" s="88">
        <f>Assumptions!G121</f>
        <v>0</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65" t="s">
        <v>123</v>
      </c>
      <c r="B119" s="88">
        <f>Assumptions!G122</f>
        <v>0</v>
      </c>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65" t="s">
        <v>124</v>
      </c>
      <c r="B120" s="88">
        <f>Assumptions!G123</f>
        <v>0</v>
      </c>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65" t="s">
        <v>125</v>
      </c>
      <c r="B121" s="88">
        <f>Assumptions!G124</f>
        <v>0</v>
      </c>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65" t="s">
        <v>126</v>
      </c>
      <c r="B122" s="88">
        <f>Assumptions!G125</f>
        <v>0</v>
      </c>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65" t="s">
        <v>127</v>
      </c>
      <c r="B123" s="88">
        <f>Assumptions!G126</f>
        <v>0</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65" t="s">
        <v>128</v>
      </c>
      <c r="B124" s="88">
        <f>Assumptions!G127</f>
        <v>0</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65" t="s">
        <v>129</v>
      </c>
      <c r="B125" s="88">
        <f>Assumptions!G128</f>
        <v>0</v>
      </c>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65" t="s">
        <v>131</v>
      </c>
      <c r="B126" s="88">
        <f>Assumptions!G129</f>
        <v>0</v>
      </c>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65" t="s">
        <v>132</v>
      </c>
      <c r="B127" s="88">
        <f>Assumptions!G130</f>
        <v>0</v>
      </c>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65" t="s">
        <v>133</v>
      </c>
      <c r="B128" s="88">
        <f>Assumptions!G131</f>
        <v>0</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65" t="s">
        <v>134</v>
      </c>
      <c r="B129" s="89">
        <f>Assumptions!G132</f>
        <v>0</v>
      </c>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85" t="s">
        <v>214</v>
      </c>
      <c r="B130" s="90">
        <f>SUM(B115:B129)</f>
        <v>0</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85"/>
      <c r="B131" s="90"/>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85" t="s">
        <v>215</v>
      </c>
      <c r="B132" s="88"/>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87" t="s">
        <v>136</v>
      </c>
      <c r="B133" s="88">
        <f>Assumptions!G135</f>
        <v>0</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87" t="s">
        <v>137</v>
      </c>
      <c r="B134" s="89">
        <f>Assumptions!G136</f>
        <v>0</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85" t="s">
        <v>216</v>
      </c>
      <c r="B135" s="90">
        <f>SUM(B133:B134)</f>
        <v>0</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85"/>
      <c r="B136" s="90"/>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85" t="s">
        <v>217</v>
      </c>
      <c r="B137" s="8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87" t="s">
        <v>218</v>
      </c>
      <c r="B138" s="88">
        <f>IF(AND(Assumptions!$H139="Total"),Assumptions!G139,IF(AND(Assumptions!$H139="Per Pupil"),Assumptions!G139*Assumptions!G$22,0))</f>
        <v>7000</v>
      </c>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87" t="s">
        <v>219</v>
      </c>
      <c r="B139" s="88">
        <f>IF(AND(Assumptions!$H140="Total"),Assumptions!G140,IF(AND(Assumptions!$H140="Per Pupil"),Assumptions!G140*Assumptions!G$22,0))</f>
        <v>15000</v>
      </c>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65" t="s">
        <v>220</v>
      </c>
      <c r="B140" s="88">
        <f>IF(AND(Assumptions!$H141="Total"),Assumptions!G141,IF(AND(Assumptions!$H141="Per Pupil"),Assumptions!G141*Assumptions!G$22,0))</f>
        <v>15000</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87" t="s">
        <v>221</v>
      </c>
      <c r="B141" s="88">
        <f>IF(AND(Assumptions!$H142="Total"),Assumptions!G142,IF(AND(Assumptions!$H142="Per Pupil"),Assumptions!G142*Assumptions!G$22,0))</f>
        <v>25000</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87" t="s">
        <v>222</v>
      </c>
      <c r="B142" s="88">
        <f>IF(AND(Assumptions!$H143="Total"),Assumptions!G143,IF(AND(Assumptions!$H143="Per Pupil"),Assumptions!G143*Assumptions!G$22,0))</f>
        <v>125000</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87" t="s">
        <v>223</v>
      </c>
      <c r="B143" s="88">
        <f>IF(AND(Assumptions!$H144="Total"),Assumptions!G144,IF(AND(Assumptions!$H144="Per Pupil"),Assumptions!G144*Assumptions!G$22,0))</f>
        <v>2500</v>
      </c>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87" t="s">
        <v>224</v>
      </c>
      <c r="B144" s="88">
        <f>IF(AND(Assumptions!$H145="Total"),Assumptions!G145,IF(AND(Assumptions!$H145="Per Pupil"),Assumptions!G145*Assumptions!G$22,0))</f>
        <v>6000</v>
      </c>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87" t="s">
        <v>225</v>
      </c>
      <c r="B145" s="88">
        <f>IF(AND(Assumptions!$H146="Total"),Assumptions!G146,IF(AND(Assumptions!$H146="Per Pupil"),Assumptions!G146*Assumptions!G$22,0))</f>
        <v>100000</v>
      </c>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87" t="s">
        <v>226</v>
      </c>
      <c r="B146" s="88">
        <f>IF(AND(Assumptions!$H149="Total"),Assumptions!G149,IF(AND(Assumptions!$H149="Per Pupil"),Assumptions!G149*Assumptions!G$22,0))</f>
        <v>1811901</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87" t="s">
        <v>227</v>
      </c>
      <c r="B147" s="88">
        <f>IF(AND(Assumptions!$H151="Total"),Assumptions!G151,IF(AND(Assumptions!$H151="Per Pupil"),Assumptions!G151*Assumptions!G$22,0))</f>
        <v>0</v>
      </c>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87" t="s">
        <v>228</v>
      </c>
      <c r="B148" s="88">
        <f>IF(AND(Assumptions!$H152="Total"),Assumptions!G152,IF(AND(Assumptions!$H152="Per Pupil"),Assumptions!G152*Assumptions!G$22,0))</f>
        <v>0</v>
      </c>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87" t="s">
        <v>229</v>
      </c>
      <c r="B149" s="88">
        <f>IF(AND(Assumptions!$H153="Total"),Assumptions!G153,IF(AND(Assumptions!$H153="Per Pupil"),Assumptions!G153*Assumptions!G$22,0))</f>
        <v>55000</v>
      </c>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87" t="s">
        <v>230</v>
      </c>
      <c r="B150" s="88">
        <f>IF(AND(Assumptions!$H154="Total"),Assumptions!G154,IF(AND(Assumptions!$H154="Per Pupil"),Assumptions!G154*Assumptions!G$22,0))</f>
        <v>72000</v>
      </c>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87" t="s">
        <v>231</v>
      </c>
      <c r="B151" s="88">
        <f>IF(AND(Assumptions!$H155="Total"),Assumptions!G155,IF(AND(Assumptions!$H155="Per Pupil"),Assumptions!G155*Assumptions!G$22,0))</f>
        <v>14500</v>
      </c>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87" t="s">
        <v>232</v>
      </c>
      <c r="B152" s="88">
        <f>IF(AND(Assumptions!$H156="Total"),Assumptions!G156,IF(AND(Assumptions!$H156="Per Pupil"),Assumptions!G156*Assumptions!G$22,0))</f>
        <v>1500</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87" t="s">
        <v>233</v>
      </c>
      <c r="B153" s="88">
        <f>IF(AND(Assumptions!$H157="Total"),Assumptions!G157,IF(AND(Assumptions!$H157="Per Pupil"),Assumptions!G157*Assumptions!G$22,0))</f>
        <v>23000</v>
      </c>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87" t="s">
        <v>234</v>
      </c>
      <c r="B154" s="88">
        <f>IF(AND(Assumptions!$H158="Total"),Assumptions!G158,IF(AND(Assumptions!$H158="Per Pupil"),Assumptions!G158*Assumptions!G$22,0))</f>
        <v>15000</v>
      </c>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87" t="s">
        <v>235</v>
      </c>
      <c r="B155" s="88">
        <f>IF(AND(Assumptions!$H159="Total"),Assumptions!G159,IF(AND(Assumptions!$H159="Per Pupil"),Assumptions!G159*Assumptions!G$22,0))</f>
        <v>6500</v>
      </c>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87" t="s">
        <v>236</v>
      </c>
      <c r="B156" s="88">
        <f>IF(AND(Assumptions!$H160="Total"),Assumptions!G160,IF(AND(Assumptions!$H160="Per Pupil"),Assumptions!G160*Assumptions!G$22,0))</f>
        <v>1100</v>
      </c>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87" t="s">
        <v>237</v>
      </c>
      <c r="B157" s="88">
        <f>IF(AND(Assumptions!$H161="Total"),Assumptions!G161,IF(AND(Assumptions!$H161="Per Pupil"),Assumptions!G161*Assumptions!G$22,0))</f>
        <v>10000</v>
      </c>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87" t="str">
        <f>Assumptions!A162</f>
        <v>Oasis HR Services</v>
      </c>
      <c r="B158" s="88">
        <f>IF(AND(Assumptions!$H162="Total"),Assumptions!G162,IF(AND(Assumptions!$H162="Per Pupil"),Assumptions!G162*Assumptions!G$22,0))</f>
        <v>68000</v>
      </c>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87" t="str">
        <f>Assumptions!A163</f>
        <v>Audit Fees</v>
      </c>
      <c r="B159" s="88">
        <f>IF(AND(Assumptions!$H163="Total"),Assumptions!G163,IF(AND(Assumptions!$H163="Per Pupil"),Assumptions!G163*Assumptions!G$22,0))</f>
        <v>12500</v>
      </c>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87" t="str">
        <f>Assumptions!A164</f>
        <v>Accounting Fees</v>
      </c>
      <c r="B160" s="88">
        <f>IF(AND(Assumptions!$H164="Total"),Assumptions!G164,IF(AND(Assumptions!$H164="Per Pupil"),Assumptions!G164*Assumptions!G$22,0))</f>
        <v>28000</v>
      </c>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87" t="str">
        <f>Assumptions!A165</f>
        <v>Other</v>
      </c>
      <c r="B161" s="88">
        <f>IF(AND(Assumptions!$H165="Total"),Assumptions!G165,IF(AND(Assumptions!$H165="Per Pupil"),Assumptions!G165*Assumptions!G$22,0))</f>
        <v>0</v>
      </c>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87" t="str">
        <f>Assumptions!A166</f>
        <v>IT Services</v>
      </c>
      <c r="B162" s="88">
        <f>IF(AND(Assumptions!$H166="Total"),Assumptions!G166,IF(AND(Assumptions!$H166="Per Pupil"),Assumptions!G166*Assumptions!G$22,0))</f>
        <v>30000</v>
      </c>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87" t="str">
        <f>Assumptions!A167</f>
        <v>Special Education Contracted Services</v>
      </c>
      <c r="B163" s="88">
        <f>IF(AND(Assumptions!$H167="Total"),Assumptions!G167,IF(AND(Assumptions!$H167="Per Pupil"),Assumptions!G167*Assumptions!G$22,0))</f>
        <v>225000</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87" t="str">
        <f>Assumptions!A168</f>
        <v>Other</v>
      </c>
      <c r="B164" s="88">
        <f>IF(AND(Assumptions!$H168="Total"),Assumptions!G168,IF(AND(Assumptions!$H168="Per Pupil"),Assumptions!G168*Assumptions!G$22,0))</f>
        <v>0</v>
      </c>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87" t="str">
        <f>Assumptions!A169</f>
        <v>Other</v>
      </c>
      <c r="B165" s="89">
        <f>IF(AND(Assumptions!$H169="Total"),Assumptions!G169,IF(AND(Assumptions!$H169="Per Pupil"),Assumptions!G169*Assumptions!G$22,0))</f>
        <v>0</v>
      </c>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85" t="s">
        <v>238</v>
      </c>
      <c r="B166" s="90">
        <f>SUM(B138:B165)</f>
        <v>2669501</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85"/>
      <c r="B167" s="90"/>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85" t="s">
        <v>239</v>
      </c>
      <c r="B168" s="88"/>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87" t="s">
        <v>240</v>
      </c>
      <c r="B169" s="88">
        <f>Assumptions!G172</f>
        <v>80000</v>
      </c>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87" t="s">
        <v>241</v>
      </c>
      <c r="B170" s="88">
        <f>Assumptions!G173</f>
        <v>30000</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87" t="s">
        <v>242</v>
      </c>
      <c r="B171" s="88">
        <f>Assumptions!G174</f>
        <v>50000</v>
      </c>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87" t="s">
        <v>243</v>
      </c>
      <c r="B172" s="88">
        <f>Assumptions!G175</f>
        <v>11500</v>
      </c>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87" t="s">
        <v>244</v>
      </c>
      <c r="B173" s="89">
        <f>Assumptions!G176</f>
        <v>0</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85" t="s">
        <v>245</v>
      </c>
      <c r="B174" s="90">
        <f>SUM(B169:B173)</f>
        <v>171500</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85"/>
      <c r="B175" s="90"/>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85" t="s">
        <v>246</v>
      </c>
      <c r="B176" s="90"/>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87" t="s">
        <v>247</v>
      </c>
      <c r="B177" s="88">
        <f>Assumptions!G179</f>
        <v>2500</v>
      </c>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87" t="s">
        <v>248</v>
      </c>
      <c r="B178" s="88">
        <f>Assumptions!G180</f>
        <v>0</v>
      </c>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87" t="s">
        <v>249</v>
      </c>
      <c r="B179" s="88">
        <f>Assumptions!G181</f>
        <v>0</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87" t="s">
        <v>250</v>
      </c>
      <c r="B180" s="89">
        <f>Assumptions!G182</f>
        <v>2500</v>
      </c>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85" t="s">
        <v>251</v>
      </c>
      <c r="B181" s="90">
        <f>SUM(B177:B180)</f>
        <v>5000</v>
      </c>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85"/>
      <c r="B182" s="90"/>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85" t="s">
        <v>252</v>
      </c>
      <c r="B183" s="90"/>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87" t="s">
        <v>253</v>
      </c>
      <c r="B184" s="88">
        <f>Assumptions!G185</f>
        <v>7782.0749999999998</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87" t="s">
        <v>254</v>
      </c>
      <c r="B185" s="89">
        <f>Assumptions!G186</f>
        <v>0</v>
      </c>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85" t="s">
        <v>255</v>
      </c>
      <c r="B186" s="90">
        <f>SUM(B184:B185)</f>
        <v>7782.0749999999998</v>
      </c>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85"/>
      <c r="B187" s="90"/>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 r="A188" s="100" t="s">
        <v>256</v>
      </c>
      <c r="B188" s="92">
        <f>B186+B181+B174+B166+B135+B130+B112+B106+B98+B92+B86+B80+B75+B67+B55</f>
        <v>8299628.5656467993</v>
      </c>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23"/>
      <c r="B189" s="90"/>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23" t="s">
        <v>257</v>
      </c>
      <c r="B190" s="101"/>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87"/>
      <c r="B191" s="88"/>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 r="A192" s="102" t="s">
        <v>258</v>
      </c>
      <c r="B192" s="90">
        <f>B28-B188-B190</f>
        <v>1649710.4343532007</v>
      </c>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30">
      <c r="A193" s="103" t="s">
        <v>259</v>
      </c>
      <c r="B193" s="88">
        <f>(B28-B26)*0.03-B196</f>
        <v>18277.140000000014</v>
      </c>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104" t="s">
        <v>260</v>
      </c>
      <c r="B194" s="88">
        <f>B192-B193</f>
        <v>1631433.2943532006</v>
      </c>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105"/>
      <c r="B195" s="88"/>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106" t="s">
        <v>261</v>
      </c>
      <c r="B196" s="90">
        <f>'Year 4'!B197</f>
        <v>280203.02999999997</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106" t="s">
        <v>262</v>
      </c>
      <c r="B197" s="90">
        <f>B193+B196</f>
        <v>298480.17</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105"/>
      <c r="B198" s="8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106" t="s">
        <v>263</v>
      </c>
      <c r="B199" s="90">
        <f>'Year 4'!B200</f>
        <v>3009294.506409999</v>
      </c>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106" t="s">
        <v>264</v>
      </c>
      <c r="B200" s="90">
        <f>B199+B192</f>
        <v>4659004.9407631997</v>
      </c>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87"/>
      <c r="B201" s="88"/>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87"/>
      <c r="B202" s="88"/>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85"/>
      <c r="B203" s="90"/>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85"/>
      <c r="B204" s="90"/>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85"/>
      <c r="B205" s="90"/>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87"/>
      <c r="B206" s="88"/>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87"/>
      <c r="B207" s="88"/>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85"/>
      <c r="B208" s="90"/>
      <c r="C208" s="4"/>
      <c r="D208" s="4"/>
      <c r="E208" s="4"/>
      <c r="F208" s="4"/>
      <c r="G208" s="4"/>
      <c r="H208" s="4"/>
      <c r="I208" s="4"/>
      <c r="J208" s="4"/>
      <c r="K208" s="4"/>
      <c r="L208" s="4"/>
      <c r="M208" s="4"/>
      <c r="N208" s="4"/>
      <c r="O208" s="4"/>
      <c r="P208" s="4"/>
      <c r="Q208" s="4"/>
      <c r="R208" s="4"/>
      <c r="S208" s="4"/>
      <c r="T208" s="4"/>
      <c r="U208" s="4"/>
      <c r="V208" s="4"/>
      <c r="W208" s="76" t="e">
        <f>(SUM(Assumptions!G69:G77,Assumptions!G80:G84,Assumptions!G87:G88,Assumptions!G91:G93,Assumptions!G96:G98,Assumptions!G101:G103,Assumptions!G106:G106,Assumptions!#REF!,Assumptions!#REF!,Assumptions!#REF!,Assumptions!G107:G110,Assumptions!G113:G118,Assumptions!G135:G136,Assumptions!G172:G176,Assumptions!G179:G182,Assumptions!G185:G186)+IF(AND(Assumptions!$H139="Total"),Assumptions!G139,IF(AND(Assumptions!$H139="Per Pupil"),Assumptions!G139*Assumptions!G$22,0))+IF(AND(Assumptions!$H140="Total"),Assumptions!G140,IF(AND(Assumptions!$H140="Per Pupil"),Assumptions!G140*Assumptions!G$22,0))+IF(AND(Assumptions!$H141="Total"),Assumptions!G141,IF(AND(Assumptions!$H141="Per Pupil"),Assumptions!G141*Assumptions!G$22,0))+IF(AND(Assumptions!$H142="Total"),Assumptions!G142,IF(AND(Assumptions!$H142="Per Pupil"),Assumptions!G142*Assumptions!G$22,0))+IF(AND(Assumptions!$H143="Total"),Assumptions!G143,IF(AND(Assumptions!$H143="Per Pupil"),Assumptions!G143*Assumptions!G$22,0))+IF(AND(Assumptions!$H144="Total"),Assumptions!G144,IF(AND(Assumptions!$H144="Per Pupil"),Assumptions!G144*Assumptions!G$22,0))+IF(AND(Assumptions!$H145="Total"),Assumptions!G145,IF(AND(Assumptions!$H145="Per Pupil"),Assumptions!G145*Assumptions!G$22,0))+IF(AND(Assumptions!$H146="Total"),Assumptions!G146,IF(AND(Assumptions!$H146="Per Pupil"),Assumptions!G146*Assumptions!G$22,0))+IF(AND(Assumptions!$H149="Total"),Assumptions!G149,IF(AND(Assumptions!$H149="Per Pupil"),Assumptions!G149*Assumptions!G$22,0))+IF(AND(Assumptions!$H151="Total"),Assumptions!G151,IF(AND(Assumptions!$H151="Per Pupil"),Assumptions!G151*Assumptions!G$22,0))+IF(AND(Assumptions!$H152="Total"),Assumptions!G152,IF(AND(Assumptions!$H152="Per Pupil"),Assumptions!G152*Assumptions!G$22,0))+IF(AND(Assumptions!$H153="Total"),Assumptions!G153,IF(AND(Assumptions!$H153="Per Pupil"),Assumptions!G153*Assumptions!G$22,0))+IF(AND(Assumptions!$H154="Total"),Assumptions!G154,IF(AND(Assumptions!$H154="Per Pupil"),Assumptions!G154*Assumptions!G$22,0))+IF(AND(Assumptions!$H155="Total"),Assumptions!G155,IF(AND(Assumptions!$H155="Per Pupil"),Assumptions!G155*Assumptions!G$22,0))+IF(AND(Assumptions!$H156="Total"),Assumptions!G156,IF(AND(Assumptions!$H156="Per Pupil"),Assumptions!G156*Assumptions!G$22,0))+IF(AND(Assumptions!$H157="Total"),Assumptions!G157,IF(AND(Assumptions!$H157="Per Pupil"),Assumptions!G157*Assumptions!G$22,0))+IF(AND(Assumptions!$H158="Total"),Assumptions!G158,IF(AND(Assumptions!$H158="Per Pupil"),Assumptions!G158*Assumptions!G$22,0))+IF(AND(Assumptions!$H159="Total"),Assumptions!G159,IF(AND(Assumptions!$H159="Per Pupil"),Assumptions!G159*Assumptions!G$22,0))+IF(AND(Assumptions!$H160="Total"),Assumptions!G160,IF(AND(Assumptions!$H160="Per Pupil"),Assumptions!G160*Assumptions!G$22,0))+IF(AND(Assumptions!$H161="Total"),Assumptions!G161,IF(AND(Assumptions!$H161="Per Pupil"),Assumptions!G161*Assumptions!G$22,0))+IF(AND(Assumptions!$H162="Total"),Assumptions!G162,IF(AND(Assumptions!$H162="Per Pupil"),Assumptions!G162*Assumptions!G$22,0))+IF(AND(Assumptions!$H163="Total"),Assumptions!G163,IF(AND(Assumptions!$H163="Per Pupil"),Assumptions!G163*Assumptions!G$22,0))+IF(AND(Assumptions!$H164="Total"),Assumptions!G164,IF(AND(Assumptions!$H164="Per Pupil"),Assumptions!G164*Assumptions!G$22,0))+IF(AND(Assumptions!$H165="Total"),Assumptions!G165,IF(AND(Assumptions!$H165="Per Pupil"),Assumptions!G165*Assumptions!G$22,0))+IF(AND(Assumptions!$H166="Total"),Assumptions!G166,IF(AND(Assumptions!$H166="Per Pupil"),Assumptions!G166*Assumptions!G$22,0))+IF(AND(Assumptions!$H167="Total"),Assumptions!G167,IF(AND(Assumptions!$H167="Per Pupil"),Assumptions!G167*Assumptions!G$22,0))+IF(AND(Assumptions!$H168="Total"),Assumptions!G168,IF(AND(Assumptions!$H168="Per Pupil"),Assumptions!G168*Assumptions!G$22,0))+IF(AND(Assumptions!$H169="Total"),Assumptions!G169,IF(AND(Assumptions!$H169="Per Pupil"),Assumptions!G169*Assumptions!G$22,0)))-($B$210-$B$55)</f>
        <v>#REF!</v>
      </c>
      <c r="X208" s="4"/>
      <c r="Y208" s="4"/>
      <c r="Z208" s="4"/>
    </row>
    <row r="209" spans="1:26">
      <c r="A209" s="85"/>
      <c r="B209" s="90"/>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 r="A210" s="108"/>
      <c r="B210" s="90"/>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23"/>
      <c r="B211" s="90"/>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23"/>
      <c r="B212" s="90"/>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87"/>
      <c r="B213" s="88"/>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 r="A214" s="109"/>
      <c r="B214" s="110"/>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111"/>
      <c r="B215" s="112"/>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111"/>
      <c r="B216" s="112"/>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11"/>
      <c r="B217" s="112"/>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10"/>
      <c r="B218" s="110"/>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10"/>
      <c r="B219" s="110"/>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B1"/>
    <mergeCell ref="A2:B2"/>
    <mergeCell ref="A6:B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tabSelected="1" workbookViewId="0">
      <pane ySplit="5" topLeftCell="A189" activePane="bottomLeft" state="frozen"/>
      <selection pane="bottomLeft" activeCell="E158" activeCellId="1" sqref="E155:E156 E158:E163"/>
    </sheetView>
  </sheetViews>
  <sheetFormatPr defaultColWidth="14.42578125" defaultRowHeight="15" customHeight="1"/>
  <cols>
    <col min="1" max="1" width="71.28515625" customWidth="1"/>
    <col min="2" max="7" width="14.28515625" customWidth="1"/>
    <col min="8" max="26" width="8.7109375" customWidth="1"/>
  </cols>
  <sheetData>
    <row r="1" spans="1:26" ht="18.75">
      <c r="A1" s="325" t="str">
        <f>TEXT(Assumptions!A1,1)</f>
        <v>Leman Academy of Excellence</v>
      </c>
      <c r="B1" s="311"/>
      <c r="C1" s="311"/>
      <c r="D1" s="311"/>
      <c r="E1" s="311"/>
      <c r="F1" s="311"/>
      <c r="G1" s="312"/>
      <c r="H1" s="80"/>
      <c r="I1" s="80"/>
      <c r="J1" s="80"/>
      <c r="K1" s="80"/>
      <c r="L1" s="80"/>
      <c r="M1" s="80"/>
      <c r="N1" s="80"/>
      <c r="O1" s="80"/>
      <c r="P1" s="80"/>
      <c r="Q1" s="80"/>
      <c r="R1" s="80"/>
      <c r="S1" s="80"/>
      <c r="T1" s="80"/>
      <c r="U1" s="80"/>
      <c r="V1" s="80"/>
      <c r="W1" s="80"/>
      <c r="X1" s="80"/>
      <c r="Y1" s="80"/>
      <c r="Z1" s="80"/>
    </row>
    <row r="2" spans="1:26" ht="18.75">
      <c r="A2" s="326" t="s">
        <v>413</v>
      </c>
      <c r="B2" s="320"/>
      <c r="C2" s="320"/>
      <c r="D2" s="320"/>
      <c r="E2" s="320"/>
      <c r="F2" s="320"/>
      <c r="G2" s="320"/>
      <c r="H2" s="80"/>
      <c r="I2" s="80"/>
      <c r="J2" s="80"/>
      <c r="K2" s="80"/>
      <c r="L2" s="80"/>
      <c r="M2" s="80"/>
      <c r="N2" s="80"/>
      <c r="O2" s="80"/>
      <c r="P2" s="80"/>
      <c r="Q2" s="80"/>
      <c r="R2" s="80"/>
      <c r="S2" s="80"/>
      <c r="T2" s="80"/>
      <c r="U2" s="80"/>
      <c r="V2" s="80"/>
      <c r="W2" s="80"/>
      <c r="X2" s="80"/>
      <c r="Y2" s="80"/>
      <c r="Z2" s="80"/>
    </row>
    <row r="3" spans="1:26" ht="18.75">
      <c r="A3" s="81" t="s">
        <v>20</v>
      </c>
      <c r="B3" s="82">
        <f>'Year 0'!$B3</f>
        <v>0</v>
      </c>
      <c r="C3" s="82">
        <f>'Year 1'!$B3</f>
        <v>480</v>
      </c>
      <c r="D3" s="82">
        <f>'Year 2'!$B3</f>
        <v>728.5</v>
      </c>
      <c r="E3" s="82">
        <f>'Year 3'!$B3</f>
        <v>952.5</v>
      </c>
      <c r="F3" s="82">
        <f>'Year 4'!$B3</f>
        <v>1013.5</v>
      </c>
      <c r="G3" s="82">
        <f>'Year 5'!$B3</f>
        <v>1067.5</v>
      </c>
      <c r="H3" s="80"/>
      <c r="I3" s="80"/>
      <c r="J3" s="80"/>
      <c r="K3" s="80"/>
      <c r="L3" s="80"/>
      <c r="M3" s="80"/>
      <c r="N3" s="80"/>
      <c r="O3" s="80"/>
      <c r="P3" s="80"/>
      <c r="Q3" s="80"/>
      <c r="R3" s="80"/>
      <c r="S3" s="80"/>
      <c r="T3" s="80"/>
      <c r="U3" s="80"/>
      <c r="V3" s="80"/>
      <c r="W3" s="80"/>
      <c r="X3" s="80"/>
      <c r="Y3" s="80"/>
      <c r="Z3" s="80"/>
    </row>
    <row r="4" spans="1:26">
      <c r="A4" s="81" t="s">
        <v>142</v>
      </c>
      <c r="B4" s="82">
        <f>'Year 0'!$B4</f>
        <v>0</v>
      </c>
      <c r="C4" s="82">
        <f>'Year 1'!$B4</f>
        <v>490.4</v>
      </c>
      <c r="D4" s="82">
        <f>'Year 2'!$B4</f>
        <v>738.5</v>
      </c>
      <c r="E4" s="82">
        <f>'Year 3'!$B4</f>
        <v>962.5</v>
      </c>
      <c r="F4" s="82">
        <f>'Year 4'!$B4</f>
        <v>1023.5</v>
      </c>
      <c r="G4" s="82">
        <f>'Year 5'!$B4</f>
        <v>1077.5</v>
      </c>
      <c r="H4" s="4"/>
      <c r="I4" s="4"/>
      <c r="J4" s="4"/>
      <c r="K4" s="4"/>
      <c r="L4" s="4"/>
      <c r="M4" s="4"/>
      <c r="N4" s="4"/>
      <c r="O4" s="4"/>
      <c r="P4" s="4"/>
      <c r="Q4" s="4"/>
      <c r="R4" s="4"/>
      <c r="S4" s="4"/>
      <c r="T4" s="4"/>
      <c r="U4" s="4"/>
      <c r="V4" s="4"/>
      <c r="W4" s="4"/>
      <c r="X4" s="4"/>
      <c r="Y4" s="4"/>
      <c r="Z4" s="4"/>
    </row>
    <row r="5" spans="1:26" ht="15.75">
      <c r="A5" s="83"/>
      <c r="B5" s="246" t="s">
        <v>2</v>
      </c>
      <c r="C5" s="246" t="s">
        <v>3</v>
      </c>
      <c r="D5" s="246" t="s">
        <v>4</v>
      </c>
      <c r="E5" s="246" t="s">
        <v>5</v>
      </c>
      <c r="F5" s="246" t="s">
        <v>6</v>
      </c>
      <c r="G5" s="246" t="s">
        <v>7</v>
      </c>
      <c r="H5" s="4"/>
      <c r="I5" s="4"/>
      <c r="J5" s="4"/>
      <c r="K5" s="4"/>
      <c r="L5" s="4"/>
      <c r="M5" s="4"/>
      <c r="N5" s="4"/>
      <c r="O5" s="4"/>
      <c r="P5" s="4"/>
      <c r="Q5" s="4"/>
      <c r="R5" s="4"/>
      <c r="S5" s="4"/>
      <c r="T5" s="4"/>
      <c r="U5" s="4"/>
      <c r="V5" s="4"/>
      <c r="W5" s="4"/>
      <c r="X5" s="4"/>
      <c r="Y5" s="4"/>
      <c r="Z5" s="4"/>
    </row>
    <row r="6" spans="1:26" ht="18.75">
      <c r="A6" s="324" t="s">
        <v>144</v>
      </c>
      <c r="B6" s="311"/>
      <c r="C6" s="311"/>
      <c r="D6" s="311"/>
      <c r="E6" s="311"/>
      <c r="F6" s="311"/>
      <c r="G6" s="312"/>
      <c r="H6" s="4"/>
      <c r="I6" s="4"/>
      <c r="J6" s="4"/>
      <c r="K6" s="4"/>
      <c r="L6" s="4"/>
      <c r="M6" s="4"/>
      <c r="N6" s="4"/>
      <c r="O6" s="4"/>
      <c r="P6" s="4"/>
      <c r="Q6" s="4"/>
      <c r="R6" s="4"/>
      <c r="S6" s="4"/>
      <c r="T6" s="4"/>
      <c r="U6" s="4"/>
      <c r="V6" s="4"/>
      <c r="W6" s="4"/>
      <c r="X6" s="4"/>
      <c r="Y6" s="4"/>
      <c r="Z6" s="4"/>
    </row>
    <row r="7" spans="1:26">
      <c r="A7" s="85" t="s">
        <v>145</v>
      </c>
      <c r="B7" s="86"/>
      <c r="C7" s="246"/>
      <c r="D7" s="246"/>
      <c r="E7" s="246"/>
      <c r="F7" s="246"/>
      <c r="G7" s="246"/>
      <c r="H7" s="4"/>
      <c r="I7" s="4"/>
      <c r="J7" s="4"/>
      <c r="K7" s="4"/>
      <c r="L7" s="4"/>
      <c r="M7" s="4"/>
      <c r="N7" s="4"/>
      <c r="O7" s="4"/>
      <c r="P7" s="4"/>
      <c r="Q7" s="4"/>
      <c r="R7" s="4"/>
      <c r="S7" s="4"/>
      <c r="T7" s="4"/>
      <c r="U7" s="4"/>
      <c r="V7" s="4"/>
      <c r="W7" s="4"/>
      <c r="X7" s="4"/>
      <c r="Y7" s="4"/>
      <c r="Z7" s="4"/>
    </row>
    <row r="8" spans="1:26">
      <c r="A8" s="87" t="s">
        <v>146</v>
      </c>
      <c r="B8" s="88">
        <f>'Year 0'!B8</f>
        <v>0</v>
      </c>
      <c r="C8" s="88">
        <f>'Year 1'!B8</f>
        <v>254400</v>
      </c>
      <c r="D8" s="88">
        <f>'Year 2'!B8</f>
        <v>378383</v>
      </c>
      <c r="E8" s="88">
        <f>'Year 3'!B8</f>
        <v>484834</v>
      </c>
      <c r="F8" s="88">
        <f>'Year 4'!B8</f>
        <v>505566</v>
      </c>
      <c r="G8" s="88">
        <f>'Year 5'!B8</f>
        <v>521853</v>
      </c>
      <c r="H8" s="4"/>
      <c r="I8" s="4"/>
      <c r="J8" s="4"/>
      <c r="K8" s="4"/>
      <c r="L8" s="4"/>
      <c r="M8" s="4"/>
      <c r="N8" s="4"/>
      <c r="O8" s="4"/>
      <c r="P8" s="4"/>
      <c r="Q8" s="4"/>
      <c r="R8" s="4"/>
      <c r="S8" s="4"/>
      <c r="T8" s="4"/>
      <c r="U8" s="4"/>
      <c r="V8" s="4"/>
      <c r="W8" s="4"/>
      <c r="X8" s="4"/>
      <c r="Y8" s="4"/>
      <c r="Z8" s="4"/>
    </row>
    <row r="9" spans="1:26">
      <c r="A9" s="87" t="s">
        <v>147</v>
      </c>
      <c r="B9" s="88">
        <f>'Year 0'!B9</f>
        <v>0</v>
      </c>
      <c r="C9" s="88">
        <f>'Year 1'!B9</f>
        <v>227500</v>
      </c>
      <c r="D9" s="88">
        <f>'Year 2'!B9</f>
        <v>262500</v>
      </c>
      <c r="E9" s="88">
        <f>'Year 3'!B9</f>
        <v>262500</v>
      </c>
      <c r="F9" s="88">
        <f>'Year 4'!B9</f>
        <v>262500</v>
      </c>
      <c r="G9" s="88">
        <f>'Year 5'!B9</f>
        <v>262500</v>
      </c>
      <c r="H9" s="4"/>
      <c r="I9" s="4"/>
      <c r="J9" s="4"/>
      <c r="K9" s="4"/>
      <c r="L9" s="4"/>
      <c r="M9" s="4"/>
      <c r="N9" s="4"/>
      <c r="O9" s="4"/>
      <c r="P9" s="4"/>
      <c r="Q9" s="4"/>
      <c r="R9" s="4"/>
      <c r="S9" s="4"/>
      <c r="T9" s="4"/>
      <c r="U9" s="4"/>
      <c r="V9" s="4"/>
      <c r="W9" s="4"/>
      <c r="X9" s="4"/>
      <c r="Y9" s="4"/>
      <c r="Z9" s="4"/>
    </row>
    <row r="10" spans="1:26">
      <c r="A10" s="87" t="s">
        <v>148</v>
      </c>
      <c r="B10" s="88">
        <f>'Year 0'!B10</f>
        <v>0</v>
      </c>
      <c r="C10" s="88">
        <f>'Year 1'!B10</f>
        <v>0</v>
      </c>
      <c r="D10" s="88">
        <f>'Year 2'!B10</f>
        <v>0</v>
      </c>
      <c r="E10" s="88">
        <f>'Year 3'!B10</f>
        <v>0</v>
      </c>
      <c r="F10" s="88">
        <f>'Year 4'!B10</f>
        <v>0</v>
      </c>
      <c r="G10" s="88">
        <f>'Year 5'!B10</f>
        <v>0</v>
      </c>
      <c r="H10" s="4"/>
      <c r="I10" s="4"/>
      <c r="J10" s="4"/>
      <c r="K10" s="4"/>
      <c r="L10" s="4"/>
      <c r="M10" s="4"/>
      <c r="N10" s="4"/>
      <c r="O10" s="4"/>
      <c r="P10" s="4"/>
      <c r="Q10" s="4"/>
      <c r="R10" s="4"/>
      <c r="S10" s="4"/>
      <c r="T10" s="4"/>
      <c r="U10" s="4"/>
      <c r="V10" s="4"/>
      <c r="W10" s="4"/>
      <c r="X10" s="4"/>
      <c r="Y10" s="4"/>
      <c r="Z10" s="4"/>
    </row>
    <row r="11" spans="1:26">
      <c r="A11" s="87" t="s">
        <v>149</v>
      </c>
      <c r="B11" s="88">
        <f>'Year 0'!B11</f>
        <v>0</v>
      </c>
      <c r="C11" s="88">
        <f>'Year 1'!B11</f>
        <v>0</v>
      </c>
      <c r="D11" s="88">
        <f>'Year 2'!B11</f>
        <v>0</v>
      </c>
      <c r="E11" s="88">
        <f>'Year 3'!B11</f>
        <v>0</v>
      </c>
      <c r="F11" s="88">
        <f>'Year 4'!B11</f>
        <v>0</v>
      </c>
      <c r="G11" s="88">
        <f>'Year 5'!B11</f>
        <v>0</v>
      </c>
      <c r="H11" s="4"/>
      <c r="I11" s="4"/>
      <c r="J11" s="4"/>
      <c r="K11" s="4"/>
      <c r="L11" s="4"/>
      <c r="M11" s="4"/>
      <c r="N11" s="4"/>
      <c r="O11" s="4"/>
      <c r="P11" s="4"/>
      <c r="Q11" s="4"/>
      <c r="R11" s="4"/>
      <c r="S11" s="4"/>
      <c r="T11" s="4"/>
      <c r="U11" s="4"/>
      <c r="V11" s="4"/>
      <c r="W11" s="4"/>
      <c r="X11" s="4"/>
      <c r="Y11" s="4"/>
      <c r="Z11" s="4"/>
    </row>
    <row r="12" spans="1:26">
      <c r="A12" s="87" t="s">
        <v>150</v>
      </c>
      <c r="B12" s="88">
        <f>'Year 0'!B12</f>
        <v>0</v>
      </c>
      <c r="C12" s="88">
        <f>'Year 1'!B12</f>
        <v>122625</v>
      </c>
      <c r="D12" s="88">
        <f>'Year 2'!B12</f>
        <v>177975.00000000003</v>
      </c>
      <c r="E12" s="88">
        <f>'Year 3'!B12</f>
        <v>228375</v>
      </c>
      <c r="F12" s="88">
        <f>'Year 4'!B12</f>
        <v>242100</v>
      </c>
      <c r="G12" s="88">
        <f>'Year 5'!B12</f>
        <v>254250</v>
      </c>
      <c r="H12" s="4"/>
      <c r="I12" s="4"/>
      <c r="J12" s="4"/>
      <c r="K12" s="4"/>
      <c r="L12" s="4"/>
      <c r="M12" s="4"/>
      <c r="N12" s="4"/>
      <c r="O12" s="4"/>
      <c r="P12" s="4"/>
      <c r="Q12" s="4"/>
      <c r="R12" s="4"/>
      <c r="S12" s="4"/>
      <c r="T12" s="4"/>
      <c r="U12" s="4"/>
      <c r="V12" s="4"/>
      <c r="W12" s="4"/>
      <c r="X12" s="4"/>
      <c r="Y12" s="4"/>
      <c r="Z12" s="4"/>
    </row>
    <row r="13" spans="1:26">
      <c r="A13" s="87" t="s">
        <v>151</v>
      </c>
      <c r="B13" s="88">
        <f>'Year 0'!B13</f>
        <v>0</v>
      </c>
      <c r="C13" s="88">
        <f>'Year 1'!B13</f>
        <v>86400</v>
      </c>
      <c r="D13" s="88">
        <f>'Year 2'!B13</f>
        <v>131130</v>
      </c>
      <c r="E13" s="88">
        <f>'Year 3'!B13</f>
        <v>171450</v>
      </c>
      <c r="F13" s="88">
        <f>'Year 4'!B13</f>
        <v>182430</v>
      </c>
      <c r="G13" s="88">
        <f>'Year 5'!B13</f>
        <v>192150</v>
      </c>
      <c r="H13" s="4"/>
      <c r="I13" s="4"/>
      <c r="J13" s="4"/>
      <c r="K13" s="4"/>
      <c r="L13" s="4"/>
      <c r="M13" s="4"/>
      <c r="N13" s="4"/>
      <c r="O13" s="4"/>
      <c r="P13" s="4"/>
      <c r="Q13" s="4"/>
      <c r="R13" s="4"/>
      <c r="S13" s="4"/>
      <c r="T13" s="4"/>
      <c r="U13" s="4"/>
      <c r="V13" s="4"/>
      <c r="W13" s="4"/>
      <c r="X13" s="4"/>
      <c r="Y13" s="4"/>
      <c r="Z13" s="4"/>
    </row>
    <row r="14" spans="1:26">
      <c r="A14" s="87" t="s">
        <v>152</v>
      </c>
      <c r="B14" s="88">
        <f>'Year 0'!B14</f>
        <v>0</v>
      </c>
      <c r="C14" s="88">
        <f>'Year 1'!B14</f>
        <v>0</v>
      </c>
      <c r="D14" s="88">
        <f>'Year 2'!B14</f>
        <v>0</v>
      </c>
      <c r="E14" s="88">
        <f>'Year 3'!B14</f>
        <v>0</v>
      </c>
      <c r="F14" s="88">
        <f>'Year 4'!B14</f>
        <v>0</v>
      </c>
      <c r="G14" s="88">
        <f>'Year 5'!B14</f>
        <v>0</v>
      </c>
      <c r="H14" s="4"/>
      <c r="I14" s="4"/>
      <c r="J14" s="4"/>
      <c r="K14" s="4"/>
      <c r="L14" s="4"/>
      <c r="M14" s="4"/>
      <c r="N14" s="4"/>
      <c r="O14" s="4"/>
      <c r="P14" s="4"/>
      <c r="Q14" s="4"/>
      <c r="R14" s="4"/>
      <c r="S14" s="4"/>
      <c r="T14" s="4"/>
      <c r="U14" s="4"/>
      <c r="V14" s="4"/>
      <c r="W14" s="4"/>
      <c r="X14" s="4"/>
      <c r="Y14" s="4"/>
      <c r="Z14" s="4"/>
    </row>
    <row r="15" spans="1:26">
      <c r="A15" s="87" t="s">
        <v>153</v>
      </c>
      <c r="B15" s="89">
        <f>'Year 0'!B15</f>
        <v>0</v>
      </c>
      <c r="C15" s="89">
        <f>'Year 1'!B15</f>
        <v>0</v>
      </c>
      <c r="D15" s="89">
        <f>'Year 2'!B15</f>
        <v>0</v>
      </c>
      <c r="E15" s="89">
        <f>'Year 3'!B15</f>
        <v>0</v>
      </c>
      <c r="F15" s="89">
        <f>'Year 4'!B15</f>
        <v>0</v>
      </c>
      <c r="G15" s="89">
        <f>'Year 5'!B15</f>
        <v>0</v>
      </c>
      <c r="H15" s="4"/>
      <c r="I15" s="4"/>
      <c r="J15" s="4"/>
      <c r="K15" s="4"/>
      <c r="L15" s="4"/>
      <c r="M15" s="4"/>
      <c r="N15" s="4"/>
      <c r="O15" s="4"/>
      <c r="P15" s="4"/>
      <c r="Q15" s="4"/>
      <c r="R15" s="4"/>
      <c r="S15" s="4"/>
      <c r="T15" s="4"/>
      <c r="U15" s="4"/>
      <c r="V15" s="4"/>
      <c r="W15" s="4"/>
      <c r="X15" s="4"/>
      <c r="Y15" s="4"/>
      <c r="Z15" s="4"/>
    </row>
    <row r="16" spans="1:26">
      <c r="A16" s="85" t="s">
        <v>154</v>
      </c>
      <c r="B16" s="90">
        <f t="shared" ref="B16:G16" si="0">SUM(B8:B15)</f>
        <v>0</v>
      </c>
      <c r="C16" s="90">
        <f t="shared" si="0"/>
        <v>690925</v>
      </c>
      <c r="D16" s="90">
        <f t="shared" si="0"/>
        <v>949988</v>
      </c>
      <c r="E16" s="90">
        <f t="shared" si="0"/>
        <v>1147159</v>
      </c>
      <c r="F16" s="90">
        <f t="shared" si="0"/>
        <v>1192596</v>
      </c>
      <c r="G16" s="90">
        <f t="shared" si="0"/>
        <v>1230753</v>
      </c>
      <c r="H16" s="4"/>
      <c r="I16" s="4"/>
      <c r="J16" s="4"/>
      <c r="K16" s="4"/>
      <c r="L16" s="4"/>
      <c r="M16" s="4"/>
      <c r="N16" s="4"/>
      <c r="O16" s="4"/>
      <c r="P16" s="4"/>
      <c r="Q16" s="4"/>
      <c r="R16" s="4"/>
      <c r="S16" s="4"/>
      <c r="T16" s="4"/>
      <c r="U16" s="4"/>
      <c r="V16" s="4"/>
      <c r="W16" s="4"/>
      <c r="X16" s="4"/>
      <c r="Y16" s="4"/>
      <c r="Z16" s="4"/>
    </row>
    <row r="17" spans="1:26">
      <c r="A17" s="87"/>
      <c r="B17" s="88"/>
      <c r="C17" s="76"/>
      <c r="D17" s="76"/>
      <c r="E17" s="76"/>
      <c r="F17" s="76"/>
      <c r="G17" s="76"/>
      <c r="H17" s="4"/>
      <c r="I17" s="4"/>
      <c r="J17" s="4"/>
      <c r="K17" s="4"/>
      <c r="L17" s="4"/>
      <c r="M17" s="4"/>
      <c r="N17" s="4"/>
      <c r="O17" s="4"/>
      <c r="P17" s="4"/>
      <c r="Q17" s="4"/>
      <c r="R17" s="4"/>
      <c r="S17" s="4"/>
      <c r="T17" s="4"/>
      <c r="U17" s="4"/>
      <c r="V17" s="4"/>
      <c r="W17" s="4"/>
      <c r="X17" s="4"/>
      <c r="Y17" s="4"/>
      <c r="Z17" s="4"/>
    </row>
    <row r="18" spans="1:26">
      <c r="A18" s="85" t="s">
        <v>155</v>
      </c>
      <c r="B18" s="88"/>
      <c r="C18" s="76"/>
      <c r="D18" s="76"/>
      <c r="E18" s="76"/>
      <c r="F18" s="76"/>
      <c r="G18" s="76"/>
      <c r="H18" s="4"/>
      <c r="I18" s="4"/>
      <c r="J18" s="4"/>
      <c r="K18" s="4"/>
      <c r="L18" s="4"/>
      <c r="M18" s="4"/>
      <c r="N18" s="4"/>
      <c r="O18" s="4"/>
      <c r="P18" s="4"/>
      <c r="Q18" s="4"/>
      <c r="R18" s="4"/>
      <c r="S18" s="4"/>
      <c r="T18" s="4"/>
      <c r="U18" s="4"/>
      <c r="V18" s="4"/>
      <c r="W18" s="4"/>
      <c r="X18" s="4"/>
      <c r="Y18" s="4"/>
      <c r="Z18" s="4"/>
    </row>
    <row r="19" spans="1:26">
      <c r="A19" s="87" t="s">
        <v>156</v>
      </c>
      <c r="B19" s="88">
        <f>'Year 0'!B19</f>
        <v>0</v>
      </c>
      <c r="C19" s="88">
        <f>'Year 1'!B19</f>
        <v>3598555</v>
      </c>
      <c r="D19" s="88">
        <f>'Year 2'!B19</f>
        <v>5527495</v>
      </c>
      <c r="E19" s="88">
        <f>'Year 3'!B19</f>
        <v>7348163</v>
      </c>
      <c r="F19" s="88">
        <f>'Year 4'!B19</f>
        <v>7970142</v>
      </c>
      <c r="G19" s="88">
        <f>'Year 5'!B19</f>
        <v>8558461</v>
      </c>
      <c r="H19" s="4"/>
      <c r="I19" s="4"/>
      <c r="J19" s="4"/>
      <c r="K19" s="4"/>
      <c r="L19" s="4"/>
      <c r="M19" s="4"/>
      <c r="N19" s="4"/>
      <c r="O19" s="4"/>
      <c r="P19" s="4"/>
      <c r="Q19" s="4"/>
      <c r="R19" s="4"/>
      <c r="S19" s="4"/>
      <c r="T19" s="4"/>
      <c r="U19" s="4"/>
      <c r="V19" s="4"/>
      <c r="W19" s="4"/>
      <c r="X19" s="4"/>
      <c r="Y19" s="4"/>
      <c r="Z19" s="4"/>
    </row>
    <row r="20" spans="1:26">
      <c r="A20" s="87" t="s">
        <v>157</v>
      </c>
      <c r="B20" s="88">
        <f>'Year 0'!B20</f>
        <v>0</v>
      </c>
      <c r="C20" s="88">
        <f>'Year 1'!B20</f>
        <v>120000</v>
      </c>
      <c r="D20" s="88">
        <f>'Year 2'!B20</f>
        <v>163913</v>
      </c>
      <c r="E20" s="88">
        <f>'Year 3'!B20</f>
        <v>190500</v>
      </c>
      <c r="F20" s="88">
        <f>'Year 4'!B20</f>
        <v>177363</v>
      </c>
      <c r="G20" s="88">
        <f>'Year 5'!B20</f>
        <v>160125</v>
      </c>
      <c r="H20" s="4"/>
      <c r="I20" s="4"/>
      <c r="J20" s="4"/>
      <c r="K20" s="4"/>
      <c r="L20" s="4"/>
      <c r="M20" s="4"/>
      <c r="N20" s="4"/>
      <c r="O20" s="4"/>
      <c r="P20" s="4"/>
      <c r="Q20" s="4"/>
      <c r="R20" s="4"/>
      <c r="S20" s="4"/>
      <c r="T20" s="4"/>
      <c r="U20" s="4"/>
      <c r="V20" s="4"/>
      <c r="W20" s="4"/>
      <c r="X20" s="4"/>
      <c r="Y20" s="4"/>
      <c r="Z20" s="4"/>
    </row>
    <row r="21" spans="1:26">
      <c r="A21" s="87" t="s">
        <v>158</v>
      </c>
      <c r="B21" s="89">
        <f>'Year 0'!B21</f>
        <v>0</v>
      </c>
      <c r="C21" s="89">
        <f>'Year 1'!B21</f>
        <v>0</v>
      </c>
      <c r="D21" s="89">
        <f>'Year 2'!B21</f>
        <v>0</v>
      </c>
      <c r="E21" s="89">
        <f>'Year 3'!B21</f>
        <v>0</v>
      </c>
      <c r="F21" s="89">
        <f>'Year 4'!B21</f>
        <v>0</v>
      </c>
      <c r="G21" s="89">
        <f>'Year 5'!B21</f>
        <v>0</v>
      </c>
      <c r="H21" s="4"/>
      <c r="I21" s="4"/>
      <c r="J21" s="4"/>
      <c r="K21" s="4"/>
      <c r="L21" s="4"/>
      <c r="M21" s="4"/>
      <c r="N21" s="4"/>
      <c r="O21" s="4"/>
      <c r="P21" s="4"/>
      <c r="Q21" s="4"/>
      <c r="R21" s="4"/>
      <c r="S21" s="4"/>
      <c r="T21" s="4"/>
      <c r="U21" s="4"/>
      <c r="V21" s="4"/>
      <c r="W21" s="4"/>
      <c r="X21" s="4"/>
      <c r="Y21" s="4"/>
      <c r="Z21" s="4"/>
    </row>
    <row r="22" spans="1:26">
      <c r="A22" s="85" t="s">
        <v>159</v>
      </c>
      <c r="B22" s="90">
        <f t="shared" ref="B22:G22" si="1">SUM(B19:B21)</f>
        <v>0</v>
      </c>
      <c r="C22" s="90">
        <f t="shared" si="1"/>
        <v>3718555</v>
      </c>
      <c r="D22" s="90">
        <f t="shared" si="1"/>
        <v>5691408</v>
      </c>
      <c r="E22" s="90">
        <f t="shared" si="1"/>
        <v>7538663</v>
      </c>
      <c r="F22" s="90">
        <f t="shared" si="1"/>
        <v>8147505</v>
      </c>
      <c r="G22" s="90">
        <f t="shared" si="1"/>
        <v>8718586</v>
      </c>
      <c r="H22" s="4"/>
      <c r="I22" s="4"/>
      <c r="J22" s="4"/>
      <c r="K22" s="4"/>
      <c r="L22" s="4"/>
      <c r="M22" s="4"/>
      <c r="N22" s="4"/>
      <c r="O22" s="4"/>
      <c r="P22" s="4"/>
      <c r="Q22" s="4"/>
      <c r="R22" s="4"/>
      <c r="S22" s="4"/>
      <c r="T22" s="4"/>
      <c r="U22" s="4"/>
      <c r="V22" s="4"/>
      <c r="W22" s="4"/>
      <c r="X22" s="4"/>
      <c r="Y22" s="4"/>
      <c r="Z22" s="4"/>
    </row>
    <row r="23" spans="1:26">
      <c r="A23" s="87"/>
      <c r="B23" s="88"/>
      <c r="C23" s="88"/>
      <c r="D23" s="88"/>
      <c r="E23" s="88"/>
      <c r="F23" s="88"/>
      <c r="G23" s="88"/>
      <c r="H23" s="4"/>
      <c r="I23" s="4"/>
      <c r="J23" s="4"/>
      <c r="K23" s="4"/>
      <c r="L23" s="4"/>
      <c r="M23" s="4"/>
      <c r="N23" s="4"/>
      <c r="O23" s="4"/>
      <c r="P23" s="4"/>
      <c r="Q23" s="4"/>
      <c r="R23" s="4"/>
      <c r="S23" s="4"/>
      <c r="T23" s="4"/>
      <c r="U23" s="4"/>
      <c r="V23" s="4"/>
      <c r="W23" s="4"/>
      <c r="X23" s="4"/>
      <c r="Y23" s="4"/>
      <c r="Z23" s="4"/>
    </row>
    <row r="24" spans="1:26">
      <c r="A24" s="85" t="s">
        <v>160</v>
      </c>
      <c r="B24" s="88"/>
      <c r="C24" s="88"/>
      <c r="D24" s="88"/>
      <c r="E24" s="88"/>
      <c r="F24" s="88"/>
      <c r="G24" s="88"/>
      <c r="H24" s="4"/>
      <c r="I24" s="4"/>
      <c r="J24" s="4"/>
      <c r="K24" s="4"/>
      <c r="L24" s="4"/>
      <c r="M24" s="4"/>
      <c r="N24" s="4"/>
      <c r="O24" s="4"/>
      <c r="P24" s="4"/>
      <c r="Q24" s="4"/>
      <c r="R24" s="4"/>
      <c r="S24" s="4"/>
      <c r="T24" s="4"/>
      <c r="U24" s="4"/>
      <c r="V24" s="4"/>
      <c r="W24" s="4"/>
      <c r="X24" s="4"/>
      <c r="Y24" s="4"/>
      <c r="Z24" s="4"/>
    </row>
    <row r="25" spans="1:26">
      <c r="A25" s="87" t="s">
        <v>161</v>
      </c>
      <c r="B25" s="89">
        <f>'Year 0'!B25</f>
        <v>0</v>
      </c>
      <c r="C25" s="89">
        <f>'Year 1'!B25</f>
        <v>0</v>
      </c>
      <c r="D25" s="89">
        <f>'Year 2'!B25</f>
        <v>0</v>
      </c>
      <c r="E25" s="89">
        <f>'Year 3'!B25</f>
        <v>0</v>
      </c>
      <c r="F25" s="89">
        <f>'Year 4'!B25</f>
        <v>0</v>
      </c>
      <c r="G25" s="89">
        <f>'Year 5'!B25</f>
        <v>0</v>
      </c>
      <c r="H25" s="4"/>
      <c r="I25" s="4"/>
      <c r="J25" s="4"/>
      <c r="K25" s="4"/>
      <c r="L25" s="4"/>
      <c r="M25" s="4"/>
      <c r="N25" s="4"/>
      <c r="O25" s="4"/>
      <c r="P25" s="4"/>
      <c r="Q25" s="4"/>
      <c r="R25" s="4"/>
      <c r="S25" s="4"/>
      <c r="T25" s="4"/>
      <c r="U25" s="4"/>
      <c r="V25" s="4"/>
      <c r="W25" s="4"/>
      <c r="X25" s="4"/>
      <c r="Y25" s="4"/>
      <c r="Z25" s="4"/>
    </row>
    <row r="26" spans="1:26">
      <c r="A26" s="85" t="s">
        <v>162</v>
      </c>
      <c r="B26" s="90">
        <f t="shared" ref="B26:G26" si="2">SUM(B25)</f>
        <v>0</v>
      </c>
      <c r="C26" s="90">
        <f t="shared" si="2"/>
        <v>0</v>
      </c>
      <c r="D26" s="90">
        <f t="shared" si="2"/>
        <v>0</v>
      </c>
      <c r="E26" s="90">
        <f t="shared" si="2"/>
        <v>0</v>
      </c>
      <c r="F26" s="90">
        <f t="shared" si="2"/>
        <v>0</v>
      </c>
      <c r="G26" s="90">
        <f t="shared" si="2"/>
        <v>0</v>
      </c>
      <c r="H26" s="4"/>
      <c r="I26" s="4"/>
      <c r="J26" s="4"/>
      <c r="K26" s="4"/>
      <c r="L26" s="4"/>
      <c r="M26" s="4"/>
      <c r="N26" s="4"/>
      <c r="O26" s="4"/>
      <c r="P26" s="4"/>
      <c r="Q26" s="4"/>
      <c r="R26" s="4"/>
      <c r="S26" s="4"/>
      <c r="T26" s="4"/>
      <c r="U26" s="4"/>
      <c r="V26" s="4"/>
      <c r="W26" s="4"/>
      <c r="X26" s="4"/>
      <c r="Y26" s="4"/>
      <c r="Z26" s="4"/>
    </row>
    <row r="27" spans="1:26">
      <c r="A27" s="85"/>
      <c r="B27" s="90"/>
      <c r="C27" s="90"/>
      <c r="D27" s="90"/>
      <c r="E27" s="90"/>
      <c r="F27" s="90"/>
      <c r="G27" s="90"/>
      <c r="H27" s="4"/>
      <c r="I27" s="4"/>
      <c r="J27" s="4"/>
      <c r="K27" s="4"/>
      <c r="L27" s="4"/>
      <c r="M27" s="4"/>
      <c r="N27" s="4"/>
      <c r="O27" s="4"/>
      <c r="P27" s="4"/>
      <c r="Q27" s="4"/>
      <c r="R27" s="4"/>
      <c r="S27" s="4"/>
      <c r="T27" s="4"/>
      <c r="U27" s="4"/>
      <c r="V27" s="4"/>
      <c r="W27" s="4"/>
      <c r="X27" s="4"/>
      <c r="Y27" s="4"/>
      <c r="Z27" s="4"/>
    </row>
    <row r="28" spans="1:26" ht="15.75">
      <c r="A28" s="91" t="s">
        <v>163</v>
      </c>
      <c r="B28" s="92">
        <f t="shared" ref="B28:G28" si="3">SUM(B16,B22,B26)</f>
        <v>0</v>
      </c>
      <c r="C28" s="92">
        <f t="shared" si="3"/>
        <v>4409480</v>
      </c>
      <c r="D28" s="92">
        <f t="shared" si="3"/>
        <v>6641396</v>
      </c>
      <c r="E28" s="92">
        <f t="shared" si="3"/>
        <v>8685822</v>
      </c>
      <c r="F28" s="92">
        <f t="shared" si="3"/>
        <v>9340101</v>
      </c>
      <c r="G28" s="92">
        <f t="shared" si="3"/>
        <v>9949339</v>
      </c>
      <c r="H28" s="4"/>
      <c r="I28" s="4"/>
      <c r="J28" s="4"/>
      <c r="K28" s="4"/>
      <c r="L28" s="4"/>
      <c r="M28" s="4"/>
      <c r="N28" s="4"/>
      <c r="O28" s="4"/>
      <c r="P28" s="4"/>
      <c r="Q28" s="4"/>
      <c r="R28" s="4"/>
      <c r="S28" s="4"/>
      <c r="T28" s="4"/>
      <c r="U28" s="4"/>
      <c r="V28" s="4"/>
      <c r="W28" s="4"/>
      <c r="X28" s="4"/>
      <c r="Y28" s="4"/>
      <c r="Z28" s="4"/>
    </row>
    <row r="29" spans="1:26">
      <c r="A29" s="4"/>
      <c r="B29" s="88"/>
      <c r="C29" s="247"/>
      <c r="D29" s="247"/>
      <c r="E29" s="247"/>
      <c r="F29" s="247"/>
      <c r="G29" s="247"/>
      <c r="H29" s="4"/>
      <c r="I29" s="4"/>
      <c r="J29" s="4"/>
      <c r="K29" s="4"/>
      <c r="L29" s="4"/>
      <c r="M29" s="4"/>
      <c r="N29" s="4"/>
      <c r="O29" s="4"/>
      <c r="P29" s="4"/>
      <c r="Q29" s="4"/>
      <c r="R29" s="4"/>
      <c r="S29" s="4"/>
      <c r="T29" s="4"/>
      <c r="U29" s="4"/>
      <c r="V29" s="4"/>
      <c r="W29" s="4"/>
      <c r="X29" s="4"/>
      <c r="Y29" s="4"/>
      <c r="Z29" s="4"/>
    </row>
    <row r="30" spans="1:26" ht="18.75">
      <c r="A30" s="324" t="s">
        <v>165</v>
      </c>
      <c r="B30" s="311"/>
      <c r="C30" s="311"/>
      <c r="D30" s="311"/>
      <c r="E30" s="311"/>
      <c r="F30" s="311"/>
      <c r="G30" s="312"/>
      <c r="H30" s="4"/>
      <c r="I30" s="4"/>
      <c r="J30" s="4"/>
      <c r="K30" s="4"/>
      <c r="L30" s="4"/>
      <c r="M30" s="4"/>
      <c r="N30" s="4"/>
      <c r="O30" s="4"/>
      <c r="P30" s="4"/>
      <c r="Q30" s="4"/>
      <c r="R30" s="4"/>
      <c r="S30" s="4"/>
      <c r="T30" s="4"/>
      <c r="U30" s="4"/>
      <c r="V30" s="4"/>
      <c r="W30" s="4"/>
      <c r="X30" s="4"/>
      <c r="Y30" s="4"/>
      <c r="Z30" s="4"/>
    </row>
    <row r="31" spans="1:26">
      <c r="A31" s="85" t="s">
        <v>166</v>
      </c>
      <c r="B31" s="88"/>
      <c r="C31" s="247"/>
      <c r="D31" s="247"/>
      <c r="E31" s="247"/>
      <c r="F31" s="247"/>
      <c r="G31" s="247"/>
      <c r="H31" s="4"/>
      <c r="I31" s="4"/>
      <c r="J31" s="4"/>
      <c r="K31" s="4"/>
      <c r="L31" s="4"/>
      <c r="M31" s="4"/>
      <c r="N31" s="4"/>
      <c r="O31" s="4"/>
      <c r="P31" s="4"/>
      <c r="Q31" s="4"/>
      <c r="R31" s="4"/>
      <c r="S31" s="4"/>
      <c r="T31" s="4"/>
      <c r="U31" s="4"/>
      <c r="V31" s="4"/>
      <c r="W31" s="4"/>
      <c r="X31" s="4"/>
      <c r="Y31" s="4"/>
      <c r="Z31" s="4"/>
    </row>
    <row r="32" spans="1:26">
      <c r="A32" s="87" t="s">
        <v>167</v>
      </c>
      <c r="B32" s="88">
        <f>'Year 0'!B32</f>
        <v>0</v>
      </c>
      <c r="C32" s="88">
        <f>'Year 1'!B32</f>
        <v>1133000</v>
      </c>
      <c r="D32" s="88">
        <f>'Year 2'!B32</f>
        <v>1764600</v>
      </c>
      <c r="E32" s="88">
        <f>'Year 3'!B32</f>
        <v>2399162.4000000004</v>
      </c>
      <c r="F32" s="88">
        <f>'Year 4'!B32</f>
        <v>2584041.48</v>
      </c>
      <c r="G32" s="88">
        <f>'Year 5'!B32</f>
        <v>2728811.4753599991</v>
      </c>
      <c r="H32" s="4"/>
      <c r="I32" s="4"/>
      <c r="J32" s="4"/>
      <c r="K32" s="4"/>
      <c r="L32" s="4"/>
      <c r="M32" s="4"/>
      <c r="N32" s="4"/>
      <c r="O32" s="4"/>
      <c r="P32" s="4"/>
      <c r="Q32" s="4"/>
      <c r="R32" s="4"/>
      <c r="S32" s="4"/>
      <c r="T32" s="4"/>
      <c r="U32" s="4"/>
      <c r="V32" s="4"/>
      <c r="W32" s="4"/>
      <c r="X32" s="4"/>
      <c r="Y32" s="4"/>
      <c r="Z32" s="4"/>
    </row>
    <row r="33" spans="1:26">
      <c r="A33" s="87" t="s">
        <v>168</v>
      </c>
      <c r="B33" s="89">
        <f>'Year 0'!B33</f>
        <v>0</v>
      </c>
      <c r="C33" s="89">
        <f>'Year 1'!B33</f>
        <v>58000</v>
      </c>
      <c r="D33" s="89">
        <f>'Year 2'!B33</f>
        <v>117300</v>
      </c>
      <c r="E33" s="89">
        <f>'Year 3'!B33</f>
        <v>140454</v>
      </c>
      <c r="F33" s="89">
        <f>'Year 4'!B33</f>
        <v>164487.24</v>
      </c>
      <c r="G33" s="89">
        <f>'Year 5'!B33</f>
        <v>167776.98479999998</v>
      </c>
      <c r="H33" s="4"/>
      <c r="I33" s="4"/>
      <c r="J33" s="4"/>
      <c r="K33" s="4"/>
      <c r="L33" s="4"/>
      <c r="M33" s="4"/>
      <c r="N33" s="4"/>
      <c r="O33" s="4"/>
      <c r="P33" s="4"/>
      <c r="Q33" s="4"/>
      <c r="R33" s="4"/>
      <c r="S33" s="4"/>
      <c r="T33" s="4"/>
      <c r="U33" s="4"/>
      <c r="V33" s="4"/>
      <c r="W33" s="4"/>
      <c r="X33" s="4"/>
      <c r="Y33" s="4"/>
      <c r="Z33" s="4"/>
    </row>
    <row r="34" spans="1:26">
      <c r="A34" s="85" t="s">
        <v>169</v>
      </c>
      <c r="B34" s="90">
        <f t="shared" ref="B34:G34" si="4">SUM(B32:B33)</f>
        <v>0</v>
      </c>
      <c r="C34" s="90">
        <f t="shared" si="4"/>
        <v>1191000</v>
      </c>
      <c r="D34" s="90">
        <f t="shared" si="4"/>
        <v>1881900</v>
      </c>
      <c r="E34" s="90">
        <f t="shared" si="4"/>
        <v>2539616.4000000004</v>
      </c>
      <c r="F34" s="90">
        <f t="shared" si="4"/>
        <v>2748528.7199999997</v>
      </c>
      <c r="G34" s="90">
        <f t="shared" si="4"/>
        <v>2896588.4601599993</v>
      </c>
      <c r="H34" s="4"/>
      <c r="I34" s="4"/>
      <c r="J34" s="4"/>
      <c r="K34" s="4"/>
      <c r="L34" s="4"/>
      <c r="M34" s="4"/>
      <c r="N34" s="4"/>
      <c r="O34" s="4"/>
      <c r="P34" s="4"/>
      <c r="Q34" s="4"/>
      <c r="R34" s="4"/>
      <c r="S34" s="4"/>
      <c r="T34" s="4"/>
      <c r="U34" s="4"/>
      <c r="V34" s="4"/>
      <c r="W34" s="4"/>
      <c r="X34" s="4"/>
      <c r="Y34" s="4"/>
      <c r="Z34" s="4"/>
    </row>
    <row r="35" spans="1:26">
      <c r="A35" s="85" t="s">
        <v>170</v>
      </c>
      <c r="B35" s="88"/>
      <c r="C35" s="88"/>
      <c r="D35" s="88"/>
      <c r="E35" s="88"/>
      <c r="F35" s="88"/>
      <c r="G35" s="88"/>
      <c r="H35" s="4"/>
      <c r="I35" s="4"/>
      <c r="J35" s="4"/>
      <c r="K35" s="4"/>
      <c r="L35" s="4"/>
      <c r="M35" s="4"/>
      <c r="N35" s="4"/>
      <c r="O35" s="4"/>
      <c r="P35" s="4"/>
      <c r="Q35" s="4"/>
      <c r="R35" s="4"/>
      <c r="S35" s="4"/>
      <c r="T35" s="4"/>
      <c r="U35" s="4"/>
      <c r="V35" s="4"/>
      <c r="W35" s="4"/>
      <c r="X35" s="4"/>
      <c r="Y35" s="4"/>
      <c r="Z35" s="4"/>
    </row>
    <row r="36" spans="1:26">
      <c r="A36" s="87" t="s">
        <v>9</v>
      </c>
      <c r="B36" s="88">
        <f>'Year 0'!B36</f>
        <v>0</v>
      </c>
      <c r="C36" s="88">
        <f>'Year 1'!B36</f>
        <v>205000</v>
      </c>
      <c r="D36" s="88">
        <f>'Year 2'!B36</f>
        <v>255100</v>
      </c>
      <c r="E36" s="88">
        <f>'Year 3'!B36</f>
        <v>372147</v>
      </c>
      <c r="F36" s="88">
        <f>'Year 4'!B36</f>
        <v>379589.93999999994</v>
      </c>
      <c r="G36" s="88">
        <f>'Year 5'!B36</f>
        <v>334142.56296000001</v>
      </c>
      <c r="H36" s="4"/>
      <c r="I36" s="4"/>
      <c r="J36" s="4"/>
      <c r="K36" s="4"/>
      <c r="L36" s="4"/>
      <c r="M36" s="4"/>
      <c r="N36" s="4"/>
      <c r="O36" s="4"/>
      <c r="P36" s="4"/>
      <c r="Q36" s="4"/>
      <c r="R36" s="4"/>
      <c r="S36" s="4"/>
      <c r="T36" s="4"/>
      <c r="U36" s="4"/>
      <c r="V36" s="4"/>
      <c r="W36" s="4"/>
      <c r="X36" s="4"/>
      <c r="Y36" s="4"/>
      <c r="Z36" s="4"/>
    </row>
    <row r="37" spans="1:26">
      <c r="A37" s="87" t="s">
        <v>171</v>
      </c>
      <c r="B37" s="88">
        <f>'Year 0'!B37</f>
        <v>0</v>
      </c>
      <c r="C37" s="88">
        <f>'Year 1'!B37</f>
        <v>0</v>
      </c>
      <c r="D37" s="88">
        <f>'Year 2'!B37</f>
        <v>0</v>
      </c>
      <c r="E37" s="88">
        <f>'Year 3'!B37</f>
        <v>0</v>
      </c>
      <c r="F37" s="88">
        <f>'Year 4'!B37</f>
        <v>0</v>
      </c>
      <c r="G37" s="88">
        <f>'Year 5'!B37</f>
        <v>0</v>
      </c>
      <c r="H37" s="4"/>
      <c r="I37" s="4"/>
      <c r="J37" s="4"/>
      <c r="K37" s="4"/>
      <c r="L37" s="4"/>
      <c r="M37" s="4"/>
      <c r="N37" s="4"/>
      <c r="O37" s="4"/>
      <c r="P37" s="4"/>
      <c r="Q37" s="4"/>
      <c r="R37" s="4"/>
      <c r="S37" s="4"/>
      <c r="T37" s="4"/>
      <c r="U37" s="4"/>
      <c r="V37" s="4"/>
      <c r="W37" s="4"/>
      <c r="X37" s="4"/>
      <c r="Y37" s="4"/>
      <c r="Z37" s="4"/>
    </row>
    <row r="38" spans="1:26">
      <c r="A38" s="87" t="s">
        <v>172</v>
      </c>
      <c r="B38" s="88">
        <f>'Year 0'!B38</f>
        <v>0</v>
      </c>
      <c r="C38" s="88">
        <f>'Year 1'!B38</f>
        <v>15200</v>
      </c>
      <c r="D38" s="88">
        <f>'Year 2'!B38</f>
        <v>38760</v>
      </c>
      <c r="E38" s="88">
        <f>'Year 3'!B38</f>
        <v>39535.199999999997</v>
      </c>
      <c r="F38" s="88">
        <f>'Year 4'!B38</f>
        <v>91325.903999999995</v>
      </c>
      <c r="G38" s="88">
        <f>'Year 5'!B38</f>
        <v>93152.422079999989</v>
      </c>
      <c r="H38" s="4"/>
      <c r="I38" s="4"/>
      <c r="J38" s="4"/>
      <c r="K38" s="4"/>
      <c r="L38" s="4"/>
      <c r="M38" s="4"/>
      <c r="N38" s="4"/>
      <c r="O38" s="4"/>
      <c r="P38" s="4"/>
      <c r="Q38" s="4"/>
      <c r="R38" s="4"/>
      <c r="S38" s="4"/>
      <c r="T38" s="4"/>
      <c r="U38" s="4"/>
      <c r="V38" s="4"/>
      <c r="W38" s="4"/>
      <c r="X38" s="4"/>
      <c r="Y38" s="4"/>
      <c r="Z38" s="4"/>
    </row>
    <row r="39" spans="1:26">
      <c r="A39" s="87" t="s">
        <v>173</v>
      </c>
      <c r="B39" s="89">
        <f>'Year 0'!B39</f>
        <v>0</v>
      </c>
      <c r="C39" s="89">
        <f>'Year 1'!B39</f>
        <v>147760</v>
      </c>
      <c r="D39" s="89">
        <f>'Year 2'!B39</f>
        <v>226154.4</v>
      </c>
      <c r="E39" s="89">
        <f>'Year 3'!B39</f>
        <v>319902.19200000004</v>
      </c>
      <c r="F39" s="89">
        <f>'Year 4'!B39</f>
        <v>351769.22784000007</v>
      </c>
      <c r="G39" s="89">
        <f>'Year 5'!B39</f>
        <v>337155.96919680003</v>
      </c>
      <c r="H39" s="4"/>
      <c r="I39" s="4"/>
      <c r="J39" s="4"/>
      <c r="K39" s="4"/>
      <c r="L39" s="4"/>
      <c r="M39" s="4"/>
      <c r="N39" s="4"/>
      <c r="O39" s="4"/>
      <c r="P39" s="4"/>
      <c r="Q39" s="4"/>
      <c r="R39" s="4"/>
      <c r="S39" s="4"/>
      <c r="T39" s="4"/>
      <c r="U39" s="4"/>
      <c r="V39" s="4"/>
      <c r="W39" s="4"/>
      <c r="X39" s="4"/>
      <c r="Y39" s="4"/>
      <c r="Z39" s="4"/>
    </row>
    <row r="40" spans="1:26">
      <c r="A40" s="85" t="s">
        <v>174</v>
      </c>
      <c r="B40" s="90">
        <f t="shared" ref="B40:G40" si="5">SUM(B36:B39)</f>
        <v>0</v>
      </c>
      <c r="C40" s="90">
        <f t="shared" si="5"/>
        <v>367960</v>
      </c>
      <c r="D40" s="90">
        <f t="shared" si="5"/>
        <v>520014.4</v>
      </c>
      <c r="E40" s="90">
        <f t="shared" si="5"/>
        <v>731584.39199999999</v>
      </c>
      <c r="F40" s="90">
        <f t="shared" si="5"/>
        <v>822685.07183999999</v>
      </c>
      <c r="G40" s="90">
        <f t="shared" si="5"/>
        <v>764450.95423680008</v>
      </c>
      <c r="H40" s="4"/>
      <c r="I40" s="4"/>
      <c r="J40" s="4"/>
      <c r="K40" s="4"/>
      <c r="L40" s="4"/>
      <c r="M40" s="4"/>
      <c r="N40" s="4"/>
      <c r="O40" s="4"/>
      <c r="P40" s="4"/>
      <c r="Q40" s="4"/>
      <c r="R40" s="4"/>
      <c r="S40" s="4"/>
      <c r="T40" s="4"/>
      <c r="U40" s="4"/>
      <c r="V40" s="4"/>
      <c r="W40" s="4"/>
      <c r="X40" s="4"/>
      <c r="Y40" s="4"/>
      <c r="Z40" s="4"/>
    </row>
    <row r="41" spans="1:26">
      <c r="A41" s="85" t="s">
        <v>175</v>
      </c>
      <c r="B41" s="90"/>
      <c r="C41" s="90"/>
      <c r="D41" s="90"/>
      <c r="E41" s="90"/>
      <c r="F41" s="90"/>
      <c r="G41" s="90"/>
      <c r="H41" s="4"/>
      <c r="I41" s="4"/>
      <c r="J41" s="4"/>
      <c r="K41" s="4"/>
      <c r="L41" s="4"/>
      <c r="M41" s="4"/>
      <c r="N41" s="4"/>
      <c r="O41" s="4"/>
      <c r="P41" s="4"/>
      <c r="Q41" s="4"/>
      <c r="R41" s="4"/>
      <c r="S41" s="4"/>
      <c r="T41" s="4"/>
      <c r="U41" s="4"/>
      <c r="V41" s="4"/>
      <c r="W41" s="4"/>
      <c r="X41" s="4"/>
      <c r="Y41" s="4"/>
      <c r="Z41" s="4"/>
    </row>
    <row r="42" spans="1:26">
      <c r="A42" s="87" t="s">
        <v>176</v>
      </c>
      <c r="B42" s="88">
        <f>'Year 0'!B42</f>
        <v>0</v>
      </c>
      <c r="C42" s="88">
        <f>'Year 1'!B42</f>
        <v>15000</v>
      </c>
      <c r="D42" s="88">
        <f>'Year 2'!B42</f>
        <v>48000</v>
      </c>
      <c r="E42" s="88">
        <f>'Year 3'!B42</f>
        <v>52000</v>
      </c>
      <c r="F42" s="88">
        <f>'Year 4'!B42</f>
        <v>58000</v>
      </c>
      <c r="G42" s="88">
        <f>'Year 5'!B42</f>
        <v>61000</v>
      </c>
      <c r="H42" s="4"/>
      <c r="I42" s="4"/>
      <c r="J42" s="4"/>
      <c r="K42" s="4"/>
      <c r="L42" s="4"/>
      <c r="M42" s="4"/>
      <c r="N42" s="4"/>
      <c r="O42" s="4"/>
      <c r="P42" s="4"/>
      <c r="Q42" s="4"/>
      <c r="R42" s="4"/>
      <c r="S42" s="4"/>
      <c r="T42" s="4"/>
      <c r="U42" s="4"/>
      <c r="V42" s="4"/>
      <c r="W42" s="4"/>
      <c r="X42" s="4"/>
      <c r="Y42" s="4"/>
      <c r="Z42" s="4"/>
    </row>
    <row r="43" spans="1:26">
      <c r="A43" s="87" t="s">
        <v>177</v>
      </c>
      <c r="B43" s="88">
        <f>'Year 0'!B43</f>
        <v>0</v>
      </c>
      <c r="C43" s="88">
        <f>'Year 1'!B43</f>
        <v>31500</v>
      </c>
      <c r="D43" s="88">
        <f>'Year 2'!B43</f>
        <v>31500</v>
      </c>
      <c r="E43" s="88">
        <f>'Year 3'!B43</f>
        <v>31500</v>
      </c>
      <c r="F43" s="88">
        <f>'Year 4'!B43</f>
        <v>31500</v>
      </c>
      <c r="G43" s="88">
        <f>'Year 5'!B43</f>
        <v>31500</v>
      </c>
      <c r="H43" s="4"/>
      <c r="I43" s="4"/>
      <c r="J43" s="4"/>
      <c r="K43" s="4"/>
      <c r="L43" s="4"/>
      <c r="M43" s="4"/>
      <c r="N43" s="4"/>
      <c r="O43" s="4"/>
      <c r="P43" s="4"/>
      <c r="Q43" s="4"/>
      <c r="R43" s="4"/>
      <c r="S43" s="4"/>
      <c r="T43" s="4"/>
      <c r="U43" s="4"/>
      <c r="V43" s="4"/>
      <c r="W43" s="4"/>
      <c r="X43" s="4"/>
      <c r="Y43" s="4"/>
      <c r="Z43" s="4"/>
    </row>
    <row r="44" spans="1:26">
      <c r="A44" s="87" t="s">
        <v>178</v>
      </c>
      <c r="B44" s="89">
        <f>'Year 0'!B44</f>
        <v>0</v>
      </c>
      <c r="C44" s="89">
        <f>'Year 1'!B44</f>
        <v>24300</v>
      </c>
      <c r="D44" s="89">
        <f>'Year 2'!B44</f>
        <v>36900</v>
      </c>
      <c r="E44" s="89">
        <f>'Year 3'!B44</f>
        <v>49500</v>
      </c>
      <c r="F44" s="89">
        <f>'Year 4'!B44</f>
        <v>52200</v>
      </c>
      <c r="G44" s="89">
        <f>'Year 5'!B44</f>
        <v>54000</v>
      </c>
      <c r="H44" s="4"/>
      <c r="I44" s="4"/>
      <c r="J44" s="4"/>
      <c r="K44" s="4"/>
      <c r="L44" s="4"/>
      <c r="M44" s="4"/>
      <c r="N44" s="4"/>
      <c r="O44" s="4"/>
      <c r="P44" s="4"/>
      <c r="Q44" s="4"/>
      <c r="R44" s="4"/>
      <c r="S44" s="4"/>
      <c r="T44" s="4"/>
      <c r="U44" s="4"/>
      <c r="V44" s="4"/>
      <c r="W44" s="4"/>
      <c r="X44" s="4"/>
      <c r="Y44" s="4"/>
      <c r="Z44" s="4"/>
    </row>
    <row r="45" spans="1:26">
      <c r="A45" s="85" t="s">
        <v>179</v>
      </c>
      <c r="B45" s="90">
        <f t="shared" ref="B45:G45" si="6">SUM(B42:B44)</f>
        <v>0</v>
      </c>
      <c r="C45" s="90">
        <f t="shared" si="6"/>
        <v>70800</v>
      </c>
      <c r="D45" s="90">
        <f t="shared" si="6"/>
        <v>116400</v>
      </c>
      <c r="E45" s="90">
        <f t="shared" si="6"/>
        <v>133000</v>
      </c>
      <c r="F45" s="90">
        <f t="shared" si="6"/>
        <v>141700</v>
      </c>
      <c r="G45" s="90">
        <f t="shared" si="6"/>
        <v>146500</v>
      </c>
      <c r="H45" s="4"/>
      <c r="I45" s="4"/>
      <c r="J45" s="4"/>
      <c r="K45" s="4"/>
      <c r="L45" s="4"/>
      <c r="M45" s="4"/>
      <c r="N45" s="4"/>
      <c r="O45" s="4"/>
      <c r="P45" s="4"/>
      <c r="Q45" s="4"/>
      <c r="R45" s="4"/>
      <c r="S45" s="4"/>
      <c r="T45" s="4"/>
      <c r="U45" s="4"/>
      <c r="V45" s="4"/>
      <c r="W45" s="4"/>
      <c r="X45" s="4"/>
      <c r="Y45" s="4"/>
      <c r="Z45" s="4"/>
    </row>
    <row r="46" spans="1:26">
      <c r="A46" s="85" t="s">
        <v>180</v>
      </c>
      <c r="B46" s="88"/>
      <c r="C46" s="88"/>
      <c r="D46" s="88"/>
      <c r="E46" s="88"/>
      <c r="F46" s="88"/>
      <c r="G46" s="88"/>
      <c r="H46" s="4"/>
      <c r="I46" s="4"/>
      <c r="J46" s="4"/>
      <c r="K46" s="4"/>
      <c r="L46" s="4"/>
      <c r="M46" s="4"/>
      <c r="N46" s="4"/>
      <c r="O46" s="4"/>
      <c r="P46" s="4"/>
      <c r="Q46" s="4"/>
      <c r="R46" s="4"/>
      <c r="S46" s="4"/>
      <c r="T46" s="4"/>
      <c r="U46" s="4"/>
      <c r="V46" s="4"/>
      <c r="W46" s="4"/>
      <c r="X46" s="4"/>
      <c r="Y46" s="4"/>
      <c r="Z46" s="4"/>
    </row>
    <row r="47" spans="1:26">
      <c r="A47" s="87" t="s">
        <v>181</v>
      </c>
      <c r="B47" s="88">
        <f>'Year 0'!B47</f>
        <v>0</v>
      </c>
      <c r="C47" s="88">
        <f>'Year 1'!B47</f>
        <v>328397</v>
      </c>
      <c r="D47" s="88">
        <f>'Year 2'!B47</f>
        <v>507440</v>
      </c>
      <c r="E47" s="88">
        <f>'Year 3'!B47</f>
        <v>685946</v>
      </c>
      <c r="F47" s="88">
        <f>'Year 4'!B47</f>
        <v>748152</v>
      </c>
      <c r="G47" s="88">
        <f>'Year 5'!B47</f>
        <v>767219</v>
      </c>
      <c r="H47" s="4"/>
      <c r="I47" s="4"/>
      <c r="J47" s="4"/>
      <c r="K47" s="4"/>
      <c r="L47" s="4"/>
      <c r="M47" s="4"/>
      <c r="N47" s="4"/>
      <c r="O47" s="4"/>
      <c r="P47" s="4"/>
      <c r="Q47" s="4"/>
      <c r="R47" s="4"/>
      <c r="S47" s="4"/>
      <c r="T47" s="4"/>
      <c r="U47" s="4"/>
      <c r="V47" s="4"/>
      <c r="W47" s="4"/>
      <c r="X47" s="4"/>
      <c r="Y47" s="4"/>
      <c r="Z47" s="4"/>
    </row>
    <row r="48" spans="1:26">
      <c r="A48" s="87" t="s">
        <v>182</v>
      </c>
      <c r="B48" s="88">
        <f>'Year 0'!B48</f>
        <v>0</v>
      </c>
      <c r="C48" s="88">
        <f>'Year 1'!B48</f>
        <v>23632</v>
      </c>
      <c r="D48" s="88">
        <f>'Year 2'!B48</f>
        <v>36516</v>
      </c>
      <c r="E48" s="88">
        <f>'Year 3'!B48</f>
        <v>49361</v>
      </c>
      <c r="F48" s="88">
        <f>'Year 4'!B48</f>
        <v>53837</v>
      </c>
      <c r="G48" s="88">
        <f>'Year 5'!B48</f>
        <v>55209</v>
      </c>
      <c r="H48" s="4"/>
      <c r="I48" s="4"/>
      <c r="J48" s="4"/>
      <c r="K48" s="4"/>
      <c r="L48" s="4"/>
      <c r="M48" s="4"/>
      <c r="N48" s="4"/>
      <c r="O48" s="4"/>
      <c r="P48" s="4"/>
      <c r="Q48" s="4"/>
      <c r="R48" s="4"/>
      <c r="S48" s="4"/>
      <c r="T48" s="4"/>
      <c r="U48" s="4"/>
      <c r="V48" s="4"/>
      <c r="W48" s="4"/>
      <c r="X48" s="4"/>
      <c r="Y48" s="4"/>
      <c r="Z48" s="4"/>
    </row>
    <row r="49" spans="1:26">
      <c r="A49" s="87" t="s">
        <v>183</v>
      </c>
      <c r="B49" s="88">
        <f>'Year 0'!B49</f>
        <v>0</v>
      </c>
      <c r="C49" s="88">
        <f>'Year 1'!B49</f>
        <v>153180</v>
      </c>
      <c r="D49" s="88">
        <f>'Year 2'!B49</f>
        <v>240500</v>
      </c>
      <c r="E49" s="88">
        <f>'Year 3'!B49</f>
        <v>318200</v>
      </c>
      <c r="F49" s="88">
        <f>'Year 4'!B49</f>
        <v>344100</v>
      </c>
      <c r="G49" s="88">
        <f>'Year 5'!B49</f>
        <v>344100</v>
      </c>
      <c r="H49" s="4"/>
      <c r="I49" s="4"/>
      <c r="J49" s="4"/>
      <c r="K49" s="4"/>
      <c r="L49" s="4"/>
      <c r="M49" s="4"/>
      <c r="N49" s="4"/>
      <c r="O49" s="4"/>
      <c r="P49" s="4"/>
      <c r="Q49" s="4"/>
      <c r="R49" s="4"/>
      <c r="S49" s="4"/>
      <c r="T49" s="4"/>
      <c r="U49" s="4"/>
      <c r="V49" s="4"/>
      <c r="W49" s="4"/>
      <c r="X49" s="4"/>
      <c r="Y49" s="4"/>
      <c r="Z49" s="4"/>
    </row>
    <row r="50" spans="1:26">
      <c r="A50" s="87" t="s">
        <v>184</v>
      </c>
      <c r="B50" s="88">
        <f>'Year 0'!B50</f>
        <v>0</v>
      </c>
      <c r="C50" s="88">
        <f>'Year 1'!B50</f>
        <v>9315</v>
      </c>
      <c r="D50" s="88">
        <f>'Year 2'!B50</f>
        <v>14625</v>
      </c>
      <c r="E50" s="88">
        <f>'Year 3'!B50</f>
        <v>19350</v>
      </c>
      <c r="F50" s="88">
        <f>'Year 4'!B50</f>
        <v>20925</v>
      </c>
      <c r="G50" s="88">
        <f>'Year 5'!B50</f>
        <v>20925</v>
      </c>
      <c r="H50" s="4"/>
      <c r="I50" s="4"/>
      <c r="J50" s="4"/>
      <c r="K50" s="4"/>
      <c r="L50" s="4"/>
      <c r="M50" s="4"/>
      <c r="N50" s="4"/>
      <c r="O50" s="4"/>
      <c r="P50" s="4"/>
      <c r="Q50" s="4"/>
      <c r="R50" s="4"/>
      <c r="S50" s="4"/>
      <c r="T50" s="4"/>
      <c r="U50" s="4"/>
      <c r="V50" s="4"/>
      <c r="W50" s="4"/>
      <c r="X50" s="4"/>
      <c r="Y50" s="4"/>
      <c r="Z50" s="4"/>
    </row>
    <row r="51" spans="1:26">
      <c r="A51" s="87" t="s">
        <v>185</v>
      </c>
      <c r="B51" s="88">
        <f>'Year 0'!B51</f>
        <v>0</v>
      </c>
      <c r="C51" s="88">
        <f>'Year 1'!B51</f>
        <v>0</v>
      </c>
      <c r="D51" s="88">
        <f>'Year 2'!B51</f>
        <v>0</v>
      </c>
      <c r="E51" s="88">
        <f>'Year 3'!B51</f>
        <v>0</v>
      </c>
      <c r="F51" s="88">
        <f>'Year 4'!B51</f>
        <v>0</v>
      </c>
      <c r="G51" s="88">
        <f>'Year 5'!B51</f>
        <v>0</v>
      </c>
      <c r="H51" s="4"/>
      <c r="I51" s="4"/>
      <c r="J51" s="4"/>
      <c r="K51" s="4"/>
      <c r="L51" s="4"/>
      <c r="M51" s="4"/>
      <c r="N51" s="4"/>
      <c r="O51" s="4"/>
      <c r="P51" s="4"/>
      <c r="Q51" s="4"/>
      <c r="R51" s="4"/>
      <c r="S51" s="4"/>
      <c r="T51" s="4"/>
      <c r="U51" s="4"/>
      <c r="V51" s="4"/>
      <c r="W51" s="4"/>
      <c r="X51" s="4"/>
      <c r="Y51" s="4"/>
      <c r="Z51" s="4"/>
    </row>
    <row r="52" spans="1:26">
      <c r="A52" s="65" t="s">
        <v>186</v>
      </c>
      <c r="B52" s="88">
        <f>'Year 0'!B52</f>
        <v>0</v>
      </c>
      <c r="C52" s="88">
        <f>'Year 1'!B52</f>
        <v>2070</v>
      </c>
      <c r="D52" s="88">
        <f>'Year 2'!B52</f>
        <v>3250</v>
      </c>
      <c r="E52" s="88">
        <f>'Year 3'!B52</f>
        <v>4300</v>
      </c>
      <c r="F52" s="88">
        <f>'Year 4'!B52</f>
        <v>4650</v>
      </c>
      <c r="G52" s="88">
        <f>'Year 5'!B52</f>
        <v>4650</v>
      </c>
      <c r="H52" s="4"/>
      <c r="I52" s="4"/>
      <c r="J52" s="4"/>
      <c r="K52" s="4"/>
      <c r="L52" s="4"/>
      <c r="M52" s="4"/>
      <c r="N52" s="4"/>
      <c r="O52" s="4"/>
      <c r="P52" s="4"/>
      <c r="Q52" s="4"/>
      <c r="R52" s="4"/>
      <c r="S52" s="4"/>
      <c r="T52" s="4"/>
      <c r="U52" s="4"/>
      <c r="V52" s="4"/>
      <c r="W52" s="4"/>
      <c r="X52" s="4"/>
      <c r="Y52" s="4"/>
      <c r="Z52" s="4"/>
    </row>
    <row r="53" spans="1:26">
      <c r="A53" s="87" t="s">
        <v>33</v>
      </c>
      <c r="B53" s="89">
        <f>'Year 0'!B53</f>
        <v>0</v>
      </c>
      <c r="C53" s="89">
        <f>'Year 1'!B53</f>
        <v>0</v>
      </c>
      <c r="D53" s="89">
        <f>'Year 2'!B53</f>
        <v>0</v>
      </c>
      <c r="E53" s="89">
        <f>'Year 3'!B53</f>
        <v>0</v>
      </c>
      <c r="F53" s="89">
        <f>'Year 4'!B53</f>
        <v>0</v>
      </c>
      <c r="G53" s="89">
        <f>'Year 5'!B53</f>
        <v>0</v>
      </c>
      <c r="H53" s="4"/>
      <c r="I53" s="4"/>
      <c r="J53" s="4"/>
      <c r="K53" s="4"/>
      <c r="L53" s="4"/>
      <c r="M53" s="4"/>
      <c r="N53" s="4"/>
      <c r="O53" s="4"/>
      <c r="P53" s="4"/>
      <c r="Q53" s="4"/>
      <c r="R53" s="4"/>
      <c r="S53" s="4"/>
      <c r="T53" s="4"/>
      <c r="U53" s="4"/>
      <c r="V53" s="4"/>
      <c r="W53" s="4"/>
      <c r="X53" s="4"/>
      <c r="Y53" s="4"/>
      <c r="Z53" s="4"/>
    </row>
    <row r="54" spans="1:26">
      <c r="A54" s="85" t="s">
        <v>187</v>
      </c>
      <c r="B54" s="98">
        <f t="shared" ref="B54:G54" si="7">SUM(B47:B53)</f>
        <v>0</v>
      </c>
      <c r="C54" s="98">
        <f t="shared" si="7"/>
        <v>516594</v>
      </c>
      <c r="D54" s="98">
        <f t="shared" si="7"/>
        <v>802331</v>
      </c>
      <c r="E54" s="98">
        <f t="shared" si="7"/>
        <v>1077157</v>
      </c>
      <c r="F54" s="98">
        <f t="shared" si="7"/>
        <v>1171664</v>
      </c>
      <c r="G54" s="98">
        <f t="shared" si="7"/>
        <v>1192103</v>
      </c>
      <c r="H54" s="4"/>
      <c r="I54" s="4"/>
      <c r="J54" s="4"/>
      <c r="K54" s="4"/>
      <c r="L54" s="4"/>
      <c r="M54" s="4"/>
      <c r="N54" s="4"/>
      <c r="O54" s="4"/>
      <c r="P54" s="4"/>
      <c r="Q54" s="4"/>
      <c r="R54" s="4"/>
      <c r="S54" s="4"/>
      <c r="T54" s="4"/>
      <c r="U54" s="4"/>
      <c r="V54" s="4"/>
      <c r="W54" s="4"/>
      <c r="X54" s="4"/>
      <c r="Y54" s="4"/>
      <c r="Z54" s="4"/>
    </row>
    <row r="55" spans="1:26">
      <c r="A55" s="85" t="s">
        <v>188</v>
      </c>
      <c r="B55" s="90">
        <f t="shared" ref="B55:G55" si="8">B34+B40+B54+B45</f>
        <v>0</v>
      </c>
      <c r="C55" s="90">
        <f t="shared" si="8"/>
        <v>2146354</v>
      </c>
      <c r="D55" s="90">
        <f t="shared" si="8"/>
        <v>3320645.4</v>
      </c>
      <c r="E55" s="90">
        <f t="shared" si="8"/>
        <v>4481357.7920000004</v>
      </c>
      <c r="F55" s="90">
        <f t="shared" si="8"/>
        <v>4884577.7918400001</v>
      </c>
      <c r="G55" s="90">
        <f t="shared" si="8"/>
        <v>4999642.4143967992</v>
      </c>
      <c r="H55" s="4"/>
      <c r="I55" s="4"/>
      <c r="J55" s="4"/>
      <c r="K55" s="4"/>
      <c r="L55" s="4"/>
      <c r="M55" s="4"/>
      <c r="N55" s="4"/>
      <c r="O55" s="4"/>
      <c r="P55" s="4"/>
      <c r="Q55" s="4"/>
      <c r="R55" s="4"/>
      <c r="S55" s="4"/>
      <c r="T55" s="4"/>
      <c r="U55" s="4"/>
      <c r="V55" s="4"/>
      <c r="W55" s="4"/>
      <c r="X55" s="4"/>
      <c r="Y55" s="4"/>
      <c r="Z55" s="4"/>
    </row>
    <row r="56" spans="1:26">
      <c r="A56" s="85"/>
      <c r="B56" s="90"/>
      <c r="C56" s="90"/>
      <c r="D56" s="90"/>
      <c r="E56" s="90"/>
      <c r="F56" s="90"/>
      <c r="G56" s="90"/>
      <c r="H56" s="4"/>
      <c r="I56" s="4"/>
      <c r="J56" s="4"/>
      <c r="K56" s="4"/>
      <c r="L56" s="4"/>
      <c r="M56" s="4"/>
      <c r="N56" s="4"/>
      <c r="O56" s="4"/>
      <c r="P56" s="4"/>
      <c r="Q56" s="4"/>
      <c r="R56" s="4"/>
      <c r="S56" s="4"/>
      <c r="T56" s="4"/>
      <c r="U56" s="4"/>
      <c r="V56" s="4"/>
      <c r="W56" s="4"/>
      <c r="X56" s="4"/>
      <c r="Y56" s="4"/>
      <c r="Z56" s="4"/>
    </row>
    <row r="57" spans="1:26">
      <c r="A57" s="85" t="s">
        <v>189</v>
      </c>
      <c r="B57" s="88"/>
      <c r="C57" s="88"/>
      <c r="D57" s="88"/>
      <c r="E57" s="88"/>
      <c r="F57" s="88"/>
      <c r="G57" s="88"/>
      <c r="H57" s="4"/>
      <c r="I57" s="4"/>
      <c r="J57" s="4"/>
      <c r="K57" s="4"/>
      <c r="L57" s="4"/>
      <c r="M57" s="4"/>
      <c r="N57" s="4"/>
      <c r="O57" s="4"/>
      <c r="P57" s="4"/>
      <c r="Q57" s="4"/>
      <c r="R57" s="4"/>
      <c r="S57" s="4"/>
      <c r="T57" s="4"/>
      <c r="U57" s="4"/>
      <c r="V57" s="4"/>
      <c r="W57" s="4"/>
      <c r="X57" s="4"/>
      <c r="Y57" s="4"/>
      <c r="Z57" s="4"/>
    </row>
    <row r="58" spans="1:26">
      <c r="A58" s="87" t="s">
        <v>58</v>
      </c>
      <c r="B58" s="88">
        <f>'Year 0'!B58</f>
        <v>0</v>
      </c>
      <c r="C58" s="88">
        <f>'Year 1'!B58</f>
        <v>20755.2</v>
      </c>
      <c r="D58" s="88">
        <f>'Year 2'!B58</f>
        <v>31500.34</v>
      </c>
      <c r="E58" s="88">
        <f>'Year 3'!B58</f>
        <v>41186.1</v>
      </c>
      <c r="F58" s="88">
        <f>'Year 4'!B58</f>
        <v>43823.740000000005</v>
      </c>
      <c r="G58" s="88">
        <f>'Year 5'!B58</f>
        <v>46158.700000000004</v>
      </c>
      <c r="H58" s="4"/>
      <c r="I58" s="4"/>
      <c r="J58" s="4"/>
      <c r="K58" s="4"/>
      <c r="L58" s="4"/>
      <c r="M58" s="4"/>
      <c r="N58" s="4"/>
      <c r="O58" s="4"/>
      <c r="P58" s="4"/>
      <c r="Q58" s="4"/>
      <c r="R58" s="4"/>
      <c r="S58" s="4"/>
      <c r="T58" s="4"/>
      <c r="U58" s="4"/>
      <c r="V58" s="4"/>
      <c r="W58" s="4"/>
      <c r="X58" s="4"/>
      <c r="Y58" s="4"/>
      <c r="Z58" s="4"/>
    </row>
    <row r="59" spans="1:26">
      <c r="A59" s="87" t="s">
        <v>59</v>
      </c>
      <c r="B59" s="88">
        <f>'Year 0'!B59</f>
        <v>0</v>
      </c>
      <c r="C59" s="88">
        <f>'Year 1'!B59</f>
        <v>1776</v>
      </c>
      <c r="D59" s="88">
        <f>'Year 2'!B59</f>
        <v>2695.4500000000003</v>
      </c>
      <c r="E59" s="88">
        <f>'Year 3'!B59</f>
        <v>3524.25</v>
      </c>
      <c r="F59" s="88">
        <f>'Year 4'!B59</f>
        <v>3749.9500000000003</v>
      </c>
      <c r="G59" s="88">
        <f>'Year 5'!B59</f>
        <v>3949.75</v>
      </c>
      <c r="H59" s="4"/>
      <c r="I59" s="4"/>
      <c r="J59" s="4"/>
      <c r="K59" s="4"/>
      <c r="L59" s="4"/>
      <c r="M59" s="4"/>
      <c r="N59" s="4"/>
      <c r="O59" s="4"/>
      <c r="P59" s="4"/>
      <c r="Q59" s="4"/>
      <c r="R59" s="4"/>
      <c r="S59" s="4"/>
      <c r="T59" s="4"/>
      <c r="U59" s="4"/>
      <c r="V59" s="4"/>
      <c r="W59" s="4"/>
      <c r="X59" s="4"/>
      <c r="Y59" s="4"/>
      <c r="Z59" s="4"/>
    </row>
    <row r="60" spans="1:26">
      <c r="A60" s="87" t="s">
        <v>190</v>
      </c>
      <c r="B60" s="88">
        <f>'Year 0'!B60</f>
        <v>0</v>
      </c>
      <c r="C60" s="88">
        <f>'Year 1'!B60</f>
        <v>4291.2</v>
      </c>
      <c r="D60" s="88">
        <f>'Year 2'!B60</f>
        <v>6512.79</v>
      </c>
      <c r="E60" s="88">
        <f>'Year 3'!B60</f>
        <v>8515.35</v>
      </c>
      <c r="F60" s="88">
        <f>'Year 4'!B60</f>
        <v>9060.6899999999987</v>
      </c>
      <c r="G60" s="88">
        <f>'Year 5'!B60</f>
        <v>9543.4499999999989</v>
      </c>
      <c r="H60" s="4"/>
      <c r="I60" s="4"/>
      <c r="J60" s="4"/>
      <c r="K60" s="4"/>
      <c r="L60" s="4"/>
      <c r="M60" s="4"/>
      <c r="N60" s="4"/>
      <c r="O60" s="4"/>
      <c r="P60" s="4"/>
      <c r="Q60" s="4"/>
      <c r="R60" s="4"/>
      <c r="S60" s="4"/>
      <c r="T60" s="4"/>
      <c r="U60" s="4"/>
      <c r="V60" s="4"/>
      <c r="W60" s="4"/>
      <c r="X60" s="4"/>
      <c r="Y60" s="4"/>
      <c r="Z60" s="4"/>
    </row>
    <row r="61" spans="1:26">
      <c r="A61" s="87" t="s">
        <v>191</v>
      </c>
      <c r="B61" s="88">
        <f>'Year 0'!B61</f>
        <v>0</v>
      </c>
      <c r="C61" s="88">
        <f>'Year 1'!B61</f>
        <v>6960</v>
      </c>
      <c r="D61" s="88">
        <f>'Year 2'!B61</f>
        <v>10563.25</v>
      </c>
      <c r="E61" s="88">
        <f>'Year 3'!B61</f>
        <v>13811.25</v>
      </c>
      <c r="F61" s="88">
        <f>'Year 4'!B61</f>
        <v>14695.75</v>
      </c>
      <c r="G61" s="88">
        <f>'Year 5'!B61</f>
        <v>15478.75</v>
      </c>
      <c r="H61" s="4"/>
      <c r="I61" s="4"/>
      <c r="J61" s="4"/>
      <c r="K61" s="4"/>
      <c r="L61" s="4"/>
      <c r="M61" s="4"/>
      <c r="N61" s="4"/>
      <c r="O61" s="4"/>
      <c r="P61" s="4"/>
      <c r="Q61" s="4"/>
      <c r="R61" s="4"/>
      <c r="S61" s="4"/>
      <c r="T61" s="4"/>
      <c r="U61" s="4"/>
      <c r="V61" s="4"/>
      <c r="W61" s="4"/>
      <c r="X61" s="4"/>
      <c r="Y61" s="4"/>
      <c r="Z61" s="4"/>
    </row>
    <row r="62" spans="1:26">
      <c r="A62" s="87" t="s">
        <v>62</v>
      </c>
      <c r="B62" s="88">
        <f>'Year 0'!B62</f>
        <v>0</v>
      </c>
      <c r="C62" s="88">
        <f>'Year 1'!B62</f>
        <v>3715.2000000000003</v>
      </c>
      <c r="D62" s="88">
        <f>'Year 2'!B62</f>
        <v>5638.59</v>
      </c>
      <c r="E62" s="88">
        <f>'Year 3'!B62</f>
        <v>7372.35</v>
      </c>
      <c r="F62" s="88">
        <f>'Year 4'!B62</f>
        <v>7844.49</v>
      </c>
      <c r="G62" s="88">
        <f>'Year 5'!B62</f>
        <v>8262.4500000000007</v>
      </c>
      <c r="H62" s="4"/>
      <c r="I62" s="4"/>
      <c r="J62" s="4"/>
      <c r="K62" s="4"/>
      <c r="L62" s="4"/>
      <c r="M62" s="4"/>
      <c r="N62" s="4"/>
      <c r="O62" s="4"/>
      <c r="P62" s="4"/>
      <c r="Q62" s="4"/>
      <c r="R62" s="4"/>
      <c r="S62" s="4"/>
      <c r="T62" s="4"/>
      <c r="U62" s="4"/>
      <c r="V62" s="4"/>
      <c r="W62" s="4"/>
      <c r="X62" s="4"/>
      <c r="Y62" s="4"/>
      <c r="Z62" s="4"/>
    </row>
    <row r="63" spans="1:26">
      <c r="A63" s="87" t="s">
        <v>63</v>
      </c>
      <c r="B63" s="88">
        <f>'Year 0'!B63</f>
        <v>0</v>
      </c>
      <c r="C63" s="88">
        <f>'Year 1'!B63</f>
        <v>249.27975000000001</v>
      </c>
      <c r="D63" s="88">
        <f>'Year 2'!B63</f>
        <v>391.38125000000002</v>
      </c>
      <c r="E63" s="88">
        <f>'Year 3'!B63</f>
        <v>517.82749999999999</v>
      </c>
      <c r="F63" s="88">
        <f>'Year 4'!B63</f>
        <v>559.97625000000005</v>
      </c>
      <c r="G63" s="88">
        <f>'Year 5'!B63</f>
        <v>559.97625000000005</v>
      </c>
      <c r="H63" s="4"/>
      <c r="I63" s="4"/>
      <c r="J63" s="4"/>
      <c r="K63" s="4"/>
      <c r="L63" s="4"/>
      <c r="M63" s="4"/>
      <c r="N63" s="4"/>
      <c r="O63" s="4"/>
      <c r="P63" s="4"/>
      <c r="Q63" s="4"/>
      <c r="R63" s="4"/>
      <c r="S63" s="4"/>
      <c r="T63" s="4"/>
      <c r="U63" s="4"/>
      <c r="V63" s="4"/>
      <c r="W63" s="4"/>
      <c r="X63" s="4"/>
      <c r="Y63" s="4"/>
      <c r="Z63" s="4"/>
    </row>
    <row r="64" spans="1:26">
      <c r="A64" s="87" t="s">
        <v>65</v>
      </c>
      <c r="B64" s="88">
        <f>'Year 0'!B64</f>
        <v>0</v>
      </c>
      <c r="C64" s="88">
        <f>'Year 1'!B64</f>
        <v>0</v>
      </c>
      <c r="D64" s="88">
        <f>'Year 2'!B64</f>
        <v>0</v>
      </c>
      <c r="E64" s="88">
        <f>'Year 3'!B64</f>
        <v>0</v>
      </c>
      <c r="F64" s="88">
        <f>'Year 4'!B64</f>
        <v>0</v>
      </c>
      <c r="G64" s="88">
        <f>'Year 5'!B64</f>
        <v>0</v>
      </c>
      <c r="H64" s="4"/>
      <c r="I64" s="4"/>
      <c r="J64" s="4"/>
      <c r="K64" s="4"/>
      <c r="L64" s="4"/>
      <c r="M64" s="4"/>
      <c r="N64" s="4"/>
      <c r="O64" s="4"/>
      <c r="P64" s="4"/>
      <c r="Q64" s="4"/>
      <c r="R64" s="4"/>
      <c r="S64" s="4"/>
      <c r="T64" s="4"/>
      <c r="U64" s="4"/>
      <c r="V64" s="4"/>
      <c r="W64" s="4"/>
      <c r="X64" s="4"/>
      <c r="Y64" s="4"/>
      <c r="Z64" s="4"/>
    </row>
    <row r="65" spans="1:26">
      <c r="A65" s="87" t="s">
        <v>192</v>
      </c>
      <c r="B65" s="88">
        <f>'Year 0'!B65</f>
        <v>0</v>
      </c>
      <c r="C65" s="88">
        <f>'Year 1'!B65</f>
        <v>0</v>
      </c>
      <c r="D65" s="88">
        <f>'Year 2'!B65</f>
        <v>0</v>
      </c>
      <c r="E65" s="88">
        <f>'Year 3'!B65</f>
        <v>0</v>
      </c>
      <c r="F65" s="88">
        <f>'Year 4'!B65</f>
        <v>0</v>
      </c>
      <c r="G65" s="88">
        <f>'Year 5'!B65</f>
        <v>0</v>
      </c>
      <c r="H65" s="4"/>
      <c r="I65" s="4"/>
      <c r="J65" s="4"/>
      <c r="K65" s="4"/>
      <c r="L65" s="4"/>
      <c r="M65" s="4"/>
      <c r="N65" s="4"/>
      <c r="O65" s="4"/>
      <c r="P65" s="4"/>
      <c r="Q65" s="4"/>
      <c r="R65" s="4"/>
      <c r="S65" s="4"/>
      <c r="T65" s="4"/>
      <c r="U65" s="4"/>
      <c r="V65" s="4"/>
      <c r="W65" s="4"/>
      <c r="X65" s="4"/>
      <c r="Y65" s="4"/>
      <c r="Z65" s="4"/>
    </row>
    <row r="66" spans="1:26">
      <c r="A66" s="87" t="s">
        <v>49</v>
      </c>
      <c r="B66" s="89">
        <f>'Year 0'!B66</f>
        <v>0</v>
      </c>
      <c r="C66" s="89">
        <f>'Year 1'!B66</f>
        <v>150500</v>
      </c>
      <c r="D66" s="89">
        <f>'Year 2'!B66</f>
        <v>218550</v>
      </c>
      <c r="E66" s="89">
        <f>'Year 3'!B66</f>
        <v>285750</v>
      </c>
      <c r="F66" s="89">
        <f>'Year 4'!B66</f>
        <v>304050</v>
      </c>
      <c r="G66" s="89">
        <f>'Year 5'!B66</f>
        <v>320250</v>
      </c>
      <c r="H66" s="4"/>
      <c r="I66" s="4"/>
      <c r="J66" s="4"/>
      <c r="K66" s="4"/>
      <c r="L66" s="4"/>
      <c r="M66" s="4"/>
      <c r="N66" s="4"/>
      <c r="O66" s="4"/>
      <c r="P66" s="4"/>
      <c r="Q66" s="4"/>
      <c r="R66" s="4"/>
      <c r="S66" s="4"/>
      <c r="T66" s="4"/>
      <c r="U66" s="4"/>
      <c r="V66" s="4"/>
      <c r="W66" s="4"/>
      <c r="X66" s="4"/>
      <c r="Y66" s="4"/>
      <c r="Z66" s="4"/>
    </row>
    <row r="67" spans="1:26">
      <c r="A67" s="85" t="s">
        <v>193</v>
      </c>
      <c r="B67" s="90">
        <f t="shared" ref="B67:G67" si="9">SUM(B58:B66)</f>
        <v>0</v>
      </c>
      <c r="C67" s="90">
        <f t="shared" si="9"/>
        <v>188246.87974999999</v>
      </c>
      <c r="D67" s="90">
        <f t="shared" si="9"/>
        <v>275851.80125000002</v>
      </c>
      <c r="E67" s="90">
        <f t="shared" si="9"/>
        <v>360677.1275</v>
      </c>
      <c r="F67" s="90">
        <f t="shared" si="9"/>
        <v>383784.59625</v>
      </c>
      <c r="G67" s="90">
        <f t="shared" si="9"/>
        <v>404203.07624999998</v>
      </c>
      <c r="H67" s="4"/>
      <c r="I67" s="4"/>
      <c r="J67" s="4"/>
      <c r="K67" s="4"/>
      <c r="L67" s="4"/>
      <c r="M67" s="4"/>
      <c r="N67" s="4"/>
      <c r="O67" s="4"/>
      <c r="P67" s="4"/>
      <c r="Q67" s="4"/>
      <c r="R67" s="4"/>
      <c r="S67" s="4"/>
      <c r="T67" s="4"/>
      <c r="U67" s="4"/>
      <c r="V67" s="4"/>
      <c r="W67" s="4"/>
      <c r="X67" s="4"/>
      <c r="Y67" s="4"/>
      <c r="Z67" s="4"/>
    </row>
    <row r="68" spans="1:26">
      <c r="A68" s="85"/>
      <c r="B68" s="90"/>
      <c r="C68" s="88"/>
      <c r="D68" s="88"/>
      <c r="E68" s="88"/>
      <c r="F68" s="88"/>
      <c r="G68" s="88"/>
      <c r="H68" s="4"/>
      <c r="I68" s="4"/>
      <c r="J68" s="4"/>
      <c r="K68" s="4"/>
      <c r="L68" s="4"/>
      <c r="M68" s="4"/>
      <c r="N68" s="4"/>
      <c r="O68" s="4"/>
      <c r="P68" s="4"/>
      <c r="Q68" s="4"/>
      <c r="R68" s="4"/>
      <c r="S68" s="4"/>
      <c r="T68" s="4"/>
      <c r="U68" s="4"/>
      <c r="V68" s="4"/>
      <c r="W68" s="4"/>
      <c r="X68" s="4"/>
      <c r="Y68" s="4"/>
      <c r="Z68" s="4"/>
    </row>
    <row r="69" spans="1:26">
      <c r="A69" s="85" t="s">
        <v>194</v>
      </c>
      <c r="B69" s="88"/>
      <c r="C69" s="88"/>
      <c r="D69" s="88"/>
      <c r="E69" s="88"/>
      <c r="F69" s="88"/>
      <c r="G69" s="88"/>
      <c r="H69" s="4"/>
      <c r="I69" s="4"/>
      <c r="J69" s="4"/>
      <c r="K69" s="4"/>
      <c r="L69" s="4"/>
      <c r="M69" s="4"/>
      <c r="N69" s="4"/>
      <c r="O69" s="4"/>
      <c r="P69" s="4"/>
      <c r="Q69" s="4"/>
      <c r="R69" s="4"/>
      <c r="S69" s="4"/>
      <c r="T69" s="4"/>
      <c r="U69" s="4"/>
      <c r="V69" s="4"/>
      <c r="W69" s="4"/>
      <c r="X69" s="4"/>
      <c r="Y69" s="4"/>
      <c r="Z69" s="4"/>
    </row>
    <row r="70" spans="1:26">
      <c r="A70" s="87" t="s">
        <v>70</v>
      </c>
      <c r="B70" s="88">
        <f>'Year 0'!B70</f>
        <v>0</v>
      </c>
      <c r="C70" s="88">
        <f>'Year 1'!B70</f>
        <v>20000</v>
      </c>
      <c r="D70" s="88">
        <f>'Year 2'!B70</f>
        <v>20000</v>
      </c>
      <c r="E70" s="88">
        <f>'Year 3'!B70</f>
        <v>20000</v>
      </c>
      <c r="F70" s="88">
        <f>'Year 4'!B70</f>
        <v>20000</v>
      </c>
      <c r="G70" s="88">
        <f>'Year 5'!B70</f>
        <v>20000</v>
      </c>
      <c r="H70" s="4"/>
      <c r="I70" s="4"/>
      <c r="J70" s="4"/>
      <c r="K70" s="4"/>
      <c r="L70" s="4"/>
      <c r="M70" s="4"/>
      <c r="N70" s="4"/>
      <c r="O70" s="4"/>
      <c r="P70" s="4"/>
      <c r="Q70" s="4"/>
      <c r="R70" s="4"/>
      <c r="S70" s="4"/>
      <c r="T70" s="4"/>
      <c r="U70" s="4"/>
      <c r="V70" s="4"/>
      <c r="W70" s="4"/>
      <c r="X70" s="4"/>
      <c r="Y70" s="4"/>
      <c r="Z70" s="4"/>
    </row>
    <row r="71" spans="1:26">
      <c r="A71" s="87" t="s">
        <v>72</v>
      </c>
      <c r="B71" s="88">
        <f>'Year 0'!B71</f>
        <v>0</v>
      </c>
      <c r="C71" s="88">
        <f>'Year 1'!B71</f>
        <v>6600</v>
      </c>
      <c r="D71" s="88">
        <f>'Year 2'!B71</f>
        <v>1900</v>
      </c>
      <c r="E71" s="88">
        <f>'Year 3'!B71</f>
        <v>2160</v>
      </c>
      <c r="F71" s="88">
        <f>'Year 4'!B71</f>
        <v>2400</v>
      </c>
      <c r="G71" s="88">
        <f>'Year 5'!B71</f>
        <v>3000</v>
      </c>
      <c r="H71" s="4"/>
      <c r="I71" s="4"/>
      <c r="J71" s="4"/>
      <c r="K71" s="4"/>
      <c r="L71" s="4"/>
      <c r="M71" s="4"/>
      <c r="N71" s="4"/>
      <c r="O71" s="4"/>
      <c r="P71" s="4"/>
      <c r="Q71" s="4"/>
      <c r="R71" s="4"/>
      <c r="S71" s="4"/>
      <c r="T71" s="4"/>
      <c r="U71" s="4"/>
      <c r="V71" s="4"/>
      <c r="W71" s="4"/>
      <c r="X71" s="4"/>
      <c r="Y71" s="4"/>
      <c r="Z71" s="4"/>
    </row>
    <row r="72" spans="1:26">
      <c r="A72" s="87" t="s">
        <v>73</v>
      </c>
      <c r="B72" s="88">
        <f>'Year 0'!B72</f>
        <v>0</v>
      </c>
      <c r="C72" s="88">
        <f>'Year 1'!B72</f>
        <v>3000</v>
      </c>
      <c r="D72" s="88">
        <f>'Year 2'!B72</f>
        <v>3000</v>
      </c>
      <c r="E72" s="88">
        <f>'Year 3'!B72</f>
        <v>3000</v>
      </c>
      <c r="F72" s="88">
        <f>'Year 4'!B72</f>
        <v>3000</v>
      </c>
      <c r="G72" s="88">
        <f>'Year 5'!B72</f>
        <v>3000</v>
      </c>
      <c r="H72" s="4"/>
      <c r="I72" s="4"/>
      <c r="J72" s="4"/>
      <c r="K72" s="4"/>
      <c r="L72" s="4"/>
      <c r="M72" s="4"/>
      <c r="N72" s="4"/>
      <c r="O72" s="4"/>
      <c r="P72" s="4"/>
      <c r="Q72" s="4"/>
      <c r="R72" s="4"/>
      <c r="S72" s="4"/>
      <c r="T72" s="4"/>
      <c r="U72" s="4"/>
      <c r="V72" s="4"/>
      <c r="W72" s="4"/>
      <c r="X72" s="4"/>
      <c r="Y72" s="4"/>
      <c r="Z72" s="4"/>
    </row>
    <row r="73" spans="1:26">
      <c r="A73" s="87" t="s">
        <v>75</v>
      </c>
      <c r="B73" s="88">
        <f>'Year 0'!B73</f>
        <v>0</v>
      </c>
      <c r="C73" s="88">
        <f>'Year 1'!B73</f>
        <v>8000</v>
      </c>
      <c r="D73" s="88">
        <f>'Year 2'!B73</f>
        <v>10000</v>
      </c>
      <c r="E73" s="88">
        <f>'Year 3'!B73</f>
        <v>12000</v>
      </c>
      <c r="F73" s="88">
        <f>'Year 4'!B73</f>
        <v>14000</v>
      </c>
      <c r="G73" s="88">
        <f>'Year 5'!B73</f>
        <v>16000</v>
      </c>
      <c r="H73" s="4"/>
      <c r="I73" s="4"/>
      <c r="J73" s="4"/>
      <c r="K73" s="4"/>
      <c r="L73" s="4"/>
      <c r="M73" s="4"/>
      <c r="N73" s="4"/>
      <c r="O73" s="4"/>
      <c r="P73" s="4"/>
      <c r="Q73" s="4"/>
      <c r="R73" s="4"/>
      <c r="S73" s="4"/>
      <c r="T73" s="4"/>
      <c r="U73" s="4"/>
      <c r="V73" s="4"/>
      <c r="W73" s="4"/>
      <c r="X73" s="4"/>
      <c r="Y73" s="4"/>
      <c r="Z73" s="4"/>
    </row>
    <row r="74" spans="1:26">
      <c r="A74" s="87" t="s">
        <v>76</v>
      </c>
      <c r="B74" s="89">
        <f>'Year 0'!B74</f>
        <v>0</v>
      </c>
      <c r="C74" s="89">
        <f>'Year 1'!B74</f>
        <v>0</v>
      </c>
      <c r="D74" s="89">
        <f>'Year 2'!B74</f>
        <v>0</v>
      </c>
      <c r="E74" s="89">
        <f>'Year 3'!B74</f>
        <v>0</v>
      </c>
      <c r="F74" s="89">
        <f>'Year 4'!B74</f>
        <v>0</v>
      </c>
      <c r="G74" s="89">
        <f>'Year 5'!B74</f>
        <v>0</v>
      </c>
      <c r="H74" s="4"/>
      <c r="I74" s="4"/>
      <c r="J74" s="4"/>
      <c r="K74" s="4"/>
      <c r="L74" s="4"/>
      <c r="M74" s="4"/>
      <c r="N74" s="4"/>
      <c r="O74" s="4"/>
      <c r="P74" s="4"/>
      <c r="Q74" s="4"/>
      <c r="R74" s="4"/>
      <c r="S74" s="4"/>
      <c r="T74" s="4"/>
      <c r="U74" s="4"/>
      <c r="V74" s="4"/>
      <c r="W74" s="4"/>
      <c r="X74" s="4"/>
      <c r="Y74" s="4"/>
      <c r="Z74" s="4"/>
    </row>
    <row r="75" spans="1:26">
      <c r="A75" s="85" t="s">
        <v>195</v>
      </c>
      <c r="B75" s="90">
        <f t="shared" ref="B75:G75" si="10">SUM(B70:B74)</f>
        <v>0</v>
      </c>
      <c r="C75" s="90">
        <f t="shared" si="10"/>
        <v>37600</v>
      </c>
      <c r="D75" s="90">
        <f t="shared" si="10"/>
        <v>34900</v>
      </c>
      <c r="E75" s="90">
        <f t="shared" si="10"/>
        <v>37160</v>
      </c>
      <c r="F75" s="90">
        <f t="shared" si="10"/>
        <v>39400</v>
      </c>
      <c r="G75" s="90">
        <f t="shared" si="10"/>
        <v>42000</v>
      </c>
      <c r="H75" s="4"/>
      <c r="I75" s="4"/>
      <c r="J75" s="4"/>
      <c r="K75" s="4"/>
      <c r="L75" s="4"/>
      <c r="M75" s="4"/>
      <c r="N75" s="4"/>
      <c r="O75" s="4"/>
      <c r="P75" s="4"/>
      <c r="Q75" s="4"/>
      <c r="R75" s="4"/>
      <c r="S75" s="4"/>
      <c r="T75" s="4"/>
      <c r="U75" s="4"/>
      <c r="V75" s="4"/>
      <c r="W75" s="4"/>
      <c r="X75" s="4"/>
      <c r="Y75" s="4"/>
      <c r="Z75" s="4"/>
    </row>
    <row r="76" spans="1:26">
      <c r="A76" s="85"/>
      <c r="B76" s="90"/>
      <c r="C76" s="88"/>
      <c r="D76" s="88"/>
      <c r="E76" s="88"/>
      <c r="F76" s="88"/>
      <c r="G76" s="88"/>
      <c r="H76" s="4"/>
      <c r="I76" s="4"/>
      <c r="J76" s="4"/>
      <c r="K76" s="4"/>
      <c r="L76" s="4"/>
      <c r="M76" s="4"/>
      <c r="N76" s="4"/>
      <c r="O76" s="4"/>
      <c r="P76" s="4"/>
      <c r="Q76" s="4"/>
      <c r="R76" s="4"/>
      <c r="S76" s="4"/>
      <c r="T76" s="4"/>
      <c r="U76" s="4"/>
      <c r="V76" s="4"/>
      <c r="W76" s="4"/>
      <c r="X76" s="4"/>
      <c r="Y76" s="4"/>
      <c r="Z76" s="4"/>
    </row>
    <row r="77" spans="1:26">
      <c r="A77" s="85" t="s">
        <v>196</v>
      </c>
      <c r="B77" s="88"/>
      <c r="C77" s="88"/>
      <c r="D77" s="88"/>
      <c r="E77" s="88"/>
      <c r="F77" s="88"/>
      <c r="G77" s="88"/>
      <c r="H77" s="4"/>
      <c r="I77" s="4"/>
      <c r="J77" s="4"/>
      <c r="K77" s="4"/>
      <c r="L77" s="4"/>
      <c r="M77" s="4"/>
      <c r="N77" s="4"/>
      <c r="O77" s="4"/>
      <c r="P77" s="4"/>
      <c r="Q77" s="4"/>
      <c r="R77" s="4"/>
      <c r="S77" s="4"/>
      <c r="T77" s="4"/>
      <c r="U77" s="4"/>
      <c r="V77" s="4"/>
      <c r="W77" s="4"/>
      <c r="X77" s="4"/>
      <c r="Y77" s="4"/>
      <c r="Z77" s="4"/>
    </row>
    <row r="78" spans="1:26">
      <c r="A78" s="87" t="s">
        <v>79</v>
      </c>
      <c r="B78" s="88">
        <f>'Year 0'!B78</f>
        <v>0</v>
      </c>
      <c r="C78" s="88">
        <f>'Year 1'!B78</f>
        <v>0</v>
      </c>
      <c r="D78" s="88">
        <f>'Year 2'!B78</f>
        <v>0</v>
      </c>
      <c r="E78" s="88">
        <f>'Year 3'!B78</f>
        <v>0</v>
      </c>
      <c r="F78" s="88">
        <f>'Year 4'!B78</f>
        <v>0</v>
      </c>
      <c r="G78" s="88">
        <f>'Year 5'!B78</f>
        <v>0</v>
      </c>
      <c r="H78" s="4"/>
      <c r="I78" s="4"/>
      <c r="J78" s="4"/>
      <c r="K78" s="4"/>
      <c r="L78" s="4"/>
      <c r="M78" s="4"/>
      <c r="N78" s="4"/>
      <c r="O78" s="4"/>
      <c r="P78" s="4"/>
      <c r="Q78" s="4"/>
      <c r="R78" s="4"/>
      <c r="S78" s="4"/>
      <c r="T78" s="4"/>
      <c r="U78" s="4"/>
      <c r="V78" s="4"/>
      <c r="W78" s="4"/>
      <c r="X78" s="4"/>
      <c r="Y78" s="4"/>
      <c r="Z78" s="4"/>
    </row>
    <row r="79" spans="1:26">
      <c r="A79" s="87" t="s">
        <v>82</v>
      </c>
      <c r="B79" s="89">
        <f>'Year 0'!B79</f>
        <v>0</v>
      </c>
      <c r="C79" s="89">
        <f>'Year 1'!B79</f>
        <v>0</v>
      </c>
      <c r="D79" s="89">
        <f>'Year 2'!B79</f>
        <v>0</v>
      </c>
      <c r="E79" s="89">
        <f>'Year 3'!B79</f>
        <v>0</v>
      </c>
      <c r="F79" s="89">
        <f>'Year 4'!B79</f>
        <v>0</v>
      </c>
      <c r="G79" s="89">
        <f>'Year 5'!B79</f>
        <v>0</v>
      </c>
      <c r="H79" s="4"/>
      <c r="I79" s="4"/>
      <c r="J79" s="4"/>
      <c r="K79" s="4"/>
      <c r="L79" s="4"/>
      <c r="M79" s="4"/>
      <c r="N79" s="4"/>
      <c r="O79" s="4"/>
      <c r="P79" s="4"/>
      <c r="Q79" s="4"/>
      <c r="R79" s="4"/>
      <c r="S79" s="4"/>
      <c r="T79" s="4"/>
      <c r="U79" s="4"/>
      <c r="V79" s="4"/>
      <c r="W79" s="4"/>
      <c r="X79" s="4"/>
      <c r="Y79" s="4"/>
      <c r="Z79" s="4"/>
    </row>
    <row r="80" spans="1:26">
      <c r="A80" s="85" t="s">
        <v>197</v>
      </c>
      <c r="B80" s="90">
        <f t="shared" ref="B80:G80" si="11">SUM(B78:B79)</f>
        <v>0</v>
      </c>
      <c r="C80" s="90">
        <f t="shared" si="11"/>
        <v>0</v>
      </c>
      <c r="D80" s="90">
        <f t="shared" si="11"/>
        <v>0</v>
      </c>
      <c r="E80" s="90">
        <f t="shared" si="11"/>
        <v>0</v>
      </c>
      <c r="F80" s="90">
        <f t="shared" si="11"/>
        <v>0</v>
      </c>
      <c r="G80" s="90">
        <f t="shared" si="11"/>
        <v>0</v>
      </c>
      <c r="H80" s="4"/>
      <c r="I80" s="4"/>
      <c r="J80" s="4"/>
      <c r="K80" s="4"/>
      <c r="L80" s="4"/>
      <c r="M80" s="4"/>
      <c r="N80" s="4"/>
      <c r="O80" s="4"/>
      <c r="P80" s="4"/>
      <c r="Q80" s="4"/>
      <c r="R80" s="4"/>
      <c r="S80" s="4"/>
      <c r="T80" s="4"/>
      <c r="U80" s="4"/>
      <c r="V80" s="4"/>
      <c r="W80" s="4"/>
      <c r="X80" s="4"/>
      <c r="Y80" s="4"/>
      <c r="Z80" s="4"/>
    </row>
    <row r="81" spans="1:26">
      <c r="A81" s="85"/>
      <c r="B81" s="90"/>
      <c r="C81" s="88"/>
      <c r="D81" s="88"/>
      <c r="E81" s="88"/>
      <c r="F81" s="88"/>
      <c r="G81" s="88"/>
      <c r="H81" s="4"/>
      <c r="I81" s="4"/>
      <c r="J81" s="4"/>
      <c r="K81" s="4"/>
      <c r="L81" s="4"/>
      <c r="M81" s="4"/>
      <c r="N81" s="4"/>
      <c r="O81" s="4"/>
      <c r="P81" s="4"/>
      <c r="Q81" s="4"/>
      <c r="R81" s="4"/>
      <c r="S81" s="4"/>
      <c r="T81" s="4"/>
      <c r="U81" s="4"/>
      <c r="V81" s="4"/>
      <c r="W81" s="4"/>
      <c r="X81" s="4"/>
      <c r="Y81" s="4"/>
      <c r="Z81" s="4"/>
    </row>
    <row r="82" spans="1:26">
      <c r="A82" s="85" t="s">
        <v>198</v>
      </c>
      <c r="B82" s="88"/>
      <c r="C82" s="90"/>
      <c r="D82" s="90"/>
      <c r="E82" s="90"/>
      <c r="F82" s="90"/>
      <c r="G82" s="90"/>
      <c r="H82" s="4"/>
      <c r="I82" s="4"/>
      <c r="J82" s="4"/>
      <c r="K82" s="4"/>
      <c r="L82" s="4"/>
      <c r="M82" s="4"/>
      <c r="N82" s="4"/>
      <c r="O82" s="4"/>
      <c r="P82" s="4"/>
      <c r="Q82" s="4"/>
      <c r="R82" s="4"/>
      <c r="S82" s="4"/>
      <c r="T82" s="4"/>
      <c r="U82" s="4"/>
      <c r="V82" s="4"/>
      <c r="W82" s="4"/>
      <c r="X82" s="4"/>
      <c r="Y82" s="4"/>
      <c r="Z82" s="4"/>
    </row>
    <row r="83" spans="1:26">
      <c r="A83" s="87" t="s">
        <v>84</v>
      </c>
      <c r="B83" s="88">
        <f>'Year 0'!B83</f>
        <v>0</v>
      </c>
      <c r="C83" s="90">
        <f>'Year 1'!B83</f>
        <v>0</v>
      </c>
      <c r="D83" s="90">
        <f>'Year 2'!B83</f>
        <v>0</v>
      </c>
      <c r="E83" s="90">
        <f>'Year 3'!B83</f>
        <v>0</v>
      </c>
      <c r="F83" s="90">
        <f>'Year 4'!B83</f>
        <v>0</v>
      </c>
      <c r="G83" s="90">
        <f>'Year 5'!B83</f>
        <v>0</v>
      </c>
      <c r="H83" s="4"/>
      <c r="I83" s="4"/>
      <c r="J83" s="4"/>
      <c r="K83" s="4"/>
      <c r="L83" s="4"/>
      <c r="M83" s="4"/>
      <c r="N83" s="4"/>
      <c r="O83" s="4"/>
      <c r="P83" s="4"/>
      <c r="Q83" s="4"/>
      <c r="R83" s="4"/>
      <c r="S83" s="4"/>
      <c r="T83" s="4"/>
      <c r="U83" s="4"/>
      <c r="V83" s="4"/>
      <c r="W83" s="4"/>
      <c r="X83" s="4"/>
      <c r="Y83" s="4"/>
      <c r="Z83" s="4"/>
    </row>
    <row r="84" spans="1:26">
      <c r="A84" s="87" t="s">
        <v>86</v>
      </c>
      <c r="B84" s="88">
        <f>'Year 0'!B84</f>
        <v>0</v>
      </c>
      <c r="C84" s="90">
        <f>'Year 1'!B84</f>
        <v>0</v>
      </c>
      <c r="D84" s="90">
        <f>'Year 2'!B84</f>
        <v>0</v>
      </c>
      <c r="E84" s="90">
        <f>'Year 3'!B84</f>
        <v>0</v>
      </c>
      <c r="F84" s="90">
        <f>'Year 4'!B84</f>
        <v>0</v>
      </c>
      <c r="G84" s="90">
        <f>'Year 5'!B84</f>
        <v>0</v>
      </c>
      <c r="H84" s="4"/>
      <c r="I84" s="4"/>
      <c r="J84" s="4"/>
      <c r="K84" s="4"/>
      <c r="L84" s="4"/>
      <c r="M84" s="4"/>
      <c r="N84" s="4"/>
      <c r="O84" s="4"/>
      <c r="P84" s="4"/>
      <c r="Q84" s="4"/>
      <c r="R84" s="4"/>
      <c r="S84" s="4"/>
      <c r="T84" s="4"/>
      <c r="U84" s="4"/>
      <c r="V84" s="4"/>
      <c r="W84" s="4"/>
      <c r="X84" s="4"/>
      <c r="Y84" s="4"/>
      <c r="Z84" s="4"/>
    </row>
    <row r="85" spans="1:26">
      <c r="A85" s="87" t="s">
        <v>90</v>
      </c>
      <c r="B85" s="89">
        <f>'Year 0'!B85</f>
        <v>0</v>
      </c>
      <c r="C85" s="98">
        <f>'Year 1'!B85</f>
        <v>0</v>
      </c>
      <c r="D85" s="98">
        <f>'Year 2'!B85</f>
        <v>0</v>
      </c>
      <c r="E85" s="98">
        <f>'Year 3'!B85</f>
        <v>0</v>
      </c>
      <c r="F85" s="98">
        <f>'Year 4'!B85</f>
        <v>0</v>
      </c>
      <c r="G85" s="98">
        <f>'Year 5'!B85</f>
        <v>0</v>
      </c>
      <c r="H85" s="4"/>
      <c r="I85" s="4"/>
      <c r="J85" s="4"/>
      <c r="K85" s="4"/>
      <c r="L85" s="4"/>
      <c r="M85" s="4"/>
      <c r="N85" s="4"/>
      <c r="O85" s="4"/>
      <c r="P85" s="4"/>
      <c r="Q85" s="4"/>
      <c r="R85" s="4"/>
      <c r="S85" s="4"/>
      <c r="T85" s="4"/>
      <c r="U85" s="4"/>
      <c r="V85" s="4"/>
      <c r="W85" s="4"/>
      <c r="X85" s="4"/>
      <c r="Y85" s="4"/>
      <c r="Z85" s="4"/>
    </row>
    <row r="86" spans="1:26">
      <c r="A86" s="85" t="s">
        <v>199</v>
      </c>
      <c r="B86" s="90">
        <f t="shared" ref="B86:G86" si="12">SUM(B83:B85)</f>
        <v>0</v>
      </c>
      <c r="C86" s="90">
        <f t="shared" si="12"/>
        <v>0</v>
      </c>
      <c r="D86" s="90">
        <f t="shared" si="12"/>
        <v>0</v>
      </c>
      <c r="E86" s="90">
        <f t="shared" si="12"/>
        <v>0</v>
      </c>
      <c r="F86" s="90">
        <f t="shared" si="12"/>
        <v>0</v>
      </c>
      <c r="G86" s="90">
        <f t="shared" si="12"/>
        <v>0</v>
      </c>
      <c r="H86" s="4"/>
      <c r="I86" s="4"/>
      <c r="J86" s="4"/>
      <c r="K86" s="4"/>
      <c r="L86" s="4"/>
      <c r="M86" s="4"/>
      <c r="N86" s="4"/>
      <c r="O86" s="4"/>
      <c r="P86" s="4"/>
      <c r="Q86" s="4"/>
      <c r="R86" s="4"/>
      <c r="S86" s="4"/>
      <c r="T86" s="4"/>
      <c r="U86" s="4"/>
      <c r="V86" s="4"/>
      <c r="W86" s="4"/>
      <c r="X86" s="4"/>
      <c r="Y86" s="4"/>
      <c r="Z86" s="4"/>
    </row>
    <row r="87" spans="1:26">
      <c r="A87" s="85"/>
      <c r="B87" s="90"/>
      <c r="C87" s="88"/>
      <c r="D87" s="88"/>
      <c r="E87" s="88"/>
      <c r="F87" s="88"/>
      <c r="G87" s="88"/>
      <c r="H87" s="4"/>
      <c r="I87" s="4"/>
      <c r="J87" s="4"/>
      <c r="K87" s="4"/>
      <c r="L87" s="4"/>
      <c r="M87" s="4"/>
      <c r="N87" s="4"/>
      <c r="O87" s="4"/>
      <c r="P87" s="4"/>
      <c r="Q87" s="4"/>
      <c r="R87" s="4"/>
      <c r="S87" s="4"/>
      <c r="T87" s="4"/>
      <c r="U87" s="4"/>
      <c r="V87" s="4"/>
      <c r="W87" s="4"/>
      <c r="X87" s="4"/>
      <c r="Y87" s="4"/>
      <c r="Z87" s="4"/>
    </row>
    <row r="88" spans="1:26">
      <c r="A88" s="85" t="s">
        <v>200</v>
      </c>
      <c r="B88" s="88"/>
      <c r="C88" s="88"/>
      <c r="D88" s="88"/>
      <c r="E88" s="88"/>
      <c r="F88" s="88"/>
      <c r="G88" s="88"/>
      <c r="H88" s="4"/>
      <c r="I88" s="4"/>
      <c r="J88" s="4"/>
      <c r="K88" s="4"/>
      <c r="L88" s="4"/>
      <c r="M88" s="4"/>
      <c r="N88" s="4"/>
      <c r="O88" s="4"/>
      <c r="P88" s="4"/>
      <c r="Q88" s="4"/>
      <c r="R88" s="4"/>
      <c r="S88" s="4"/>
      <c r="T88" s="4"/>
      <c r="U88" s="4"/>
      <c r="V88" s="4"/>
      <c r="W88" s="4"/>
      <c r="X88" s="4"/>
      <c r="Y88" s="4"/>
      <c r="Z88" s="4"/>
    </row>
    <row r="89" spans="1:26">
      <c r="A89" s="87" t="s">
        <v>93</v>
      </c>
      <c r="B89" s="88">
        <f>'Year 0'!B89</f>
        <v>0</v>
      </c>
      <c r="C89" s="90">
        <f>'Year 1'!B89</f>
        <v>0</v>
      </c>
      <c r="D89" s="90">
        <f>'Year 2'!B89</f>
        <v>0</v>
      </c>
      <c r="E89" s="90">
        <f>'Year 3'!B89</f>
        <v>0</v>
      </c>
      <c r="F89" s="90">
        <f>'Year 4'!B89</f>
        <v>0</v>
      </c>
      <c r="G89" s="90">
        <f>'Year 5'!B89</f>
        <v>0</v>
      </c>
      <c r="H89" s="4"/>
      <c r="I89" s="4"/>
      <c r="J89" s="4"/>
      <c r="K89" s="4"/>
      <c r="L89" s="4"/>
      <c r="M89" s="4"/>
      <c r="N89" s="4"/>
      <c r="O89" s="4"/>
      <c r="P89" s="4"/>
      <c r="Q89" s="4"/>
      <c r="R89" s="4"/>
      <c r="S89" s="4"/>
      <c r="T89" s="4"/>
      <c r="U89" s="4"/>
      <c r="V89" s="4"/>
      <c r="W89" s="4"/>
      <c r="X89" s="4"/>
      <c r="Y89" s="4"/>
      <c r="Z89" s="4"/>
    </row>
    <row r="90" spans="1:26">
      <c r="A90" s="87" t="s">
        <v>95</v>
      </c>
      <c r="B90" s="88">
        <f>'Year 0'!B90</f>
        <v>0</v>
      </c>
      <c r="C90" s="90">
        <f>'Year 1'!B90</f>
        <v>0</v>
      </c>
      <c r="D90" s="90">
        <f>'Year 2'!B90</f>
        <v>0</v>
      </c>
      <c r="E90" s="90">
        <f>'Year 3'!B90</f>
        <v>0</v>
      </c>
      <c r="F90" s="90">
        <f>'Year 4'!B90</f>
        <v>0</v>
      </c>
      <c r="G90" s="90">
        <f>'Year 5'!B90</f>
        <v>0</v>
      </c>
      <c r="H90" s="4"/>
      <c r="I90" s="4"/>
      <c r="J90" s="4"/>
      <c r="K90" s="4"/>
      <c r="L90" s="4"/>
      <c r="M90" s="4"/>
      <c r="N90" s="4"/>
      <c r="O90" s="4"/>
      <c r="P90" s="4"/>
      <c r="Q90" s="4"/>
      <c r="R90" s="4"/>
      <c r="S90" s="4"/>
      <c r="T90" s="4"/>
      <c r="U90" s="4"/>
      <c r="V90" s="4"/>
      <c r="W90" s="4"/>
      <c r="X90" s="4"/>
      <c r="Y90" s="4"/>
      <c r="Z90" s="4"/>
    </row>
    <row r="91" spans="1:26">
      <c r="A91" s="87" t="s">
        <v>201</v>
      </c>
      <c r="B91" s="89">
        <f>'Year 0'!B91</f>
        <v>0</v>
      </c>
      <c r="C91" s="98">
        <f>'Year 1'!B91</f>
        <v>0</v>
      </c>
      <c r="D91" s="98">
        <f>'Year 2'!B91</f>
        <v>0</v>
      </c>
      <c r="E91" s="98">
        <f>'Year 3'!B91</f>
        <v>0</v>
      </c>
      <c r="F91" s="98">
        <f>'Year 4'!B91</f>
        <v>0</v>
      </c>
      <c r="G91" s="98">
        <f>'Year 5'!B91</f>
        <v>0</v>
      </c>
      <c r="H91" s="4"/>
      <c r="I91" s="4"/>
      <c r="J91" s="4"/>
      <c r="K91" s="4"/>
      <c r="L91" s="4"/>
      <c r="M91" s="4"/>
      <c r="N91" s="4"/>
      <c r="O91" s="4"/>
      <c r="P91" s="4"/>
      <c r="Q91" s="4"/>
      <c r="R91" s="4"/>
      <c r="S91" s="4"/>
      <c r="T91" s="4"/>
      <c r="U91" s="4"/>
      <c r="V91" s="4"/>
      <c r="W91" s="4"/>
      <c r="X91" s="4"/>
      <c r="Y91" s="4"/>
      <c r="Z91" s="4"/>
    </row>
    <row r="92" spans="1:26">
      <c r="A92" s="85" t="s">
        <v>202</v>
      </c>
      <c r="B92" s="90">
        <f t="shared" ref="B92:G92" si="13">SUM(B89:B91)</f>
        <v>0</v>
      </c>
      <c r="C92" s="90">
        <f t="shared" si="13"/>
        <v>0</v>
      </c>
      <c r="D92" s="90">
        <f t="shared" si="13"/>
        <v>0</v>
      </c>
      <c r="E92" s="90">
        <f t="shared" si="13"/>
        <v>0</v>
      </c>
      <c r="F92" s="90">
        <f t="shared" si="13"/>
        <v>0</v>
      </c>
      <c r="G92" s="90">
        <f t="shared" si="13"/>
        <v>0</v>
      </c>
      <c r="H92" s="4"/>
      <c r="I92" s="4"/>
      <c r="J92" s="4"/>
      <c r="K92" s="4"/>
      <c r="L92" s="4"/>
      <c r="M92" s="4"/>
      <c r="N92" s="4"/>
      <c r="O92" s="4"/>
      <c r="P92" s="4"/>
      <c r="Q92" s="4"/>
      <c r="R92" s="4"/>
      <c r="S92" s="4"/>
      <c r="T92" s="4"/>
      <c r="U92" s="4"/>
      <c r="V92" s="4"/>
      <c r="W92" s="4"/>
      <c r="X92" s="4"/>
      <c r="Y92" s="4"/>
      <c r="Z92" s="4"/>
    </row>
    <row r="93" spans="1:26">
      <c r="A93" s="85"/>
      <c r="B93" s="90"/>
      <c r="C93" s="88"/>
      <c r="D93" s="88"/>
      <c r="E93" s="88"/>
      <c r="F93" s="88"/>
      <c r="G93" s="88"/>
      <c r="H93" s="4"/>
      <c r="I93" s="4"/>
      <c r="J93" s="4"/>
      <c r="K93" s="4"/>
      <c r="L93" s="4"/>
      <c r="M93" s="4"/>
      <c r="N93" s="4"/>
      <c r="O93" s="4"/>
      <c r="P93" s="4"/>
      <c r="Q93" s="4"/>
      <c r="R93" s="4"/>
      <c r="S93" s="4"/>
      <c r="T93" s="4"/>
      <c r="U93" s="4"/>
      <c r="V93" s="4"/>
      <c r="W93" s="4"/>
      <c r="X93" s="4"/>
      <c r="Y93" s="4"/>
      <c r="Z93" s="4"/>
    </row>
    <row r="94" spans="1:26">
      <c r="A94" s="85" t="s">
        <v>203</v>
      </c>
      <c r="B94" s="88"/>
      <c r="C94" s="88"/>
      <c r="D94" s="88"/>
      <c r="E94" s="88"/>
      <c r="F94" s="88"/>
      <c r="G94" s="88"/>
      <c r="H94" s="4"/>
      <c r="I94" s="4"/>
      <c r="J94" s="4"/>
      <c r="K94" s="4"/>
      <c r="L94" s="4"/>
      <c r="M94" s="4"/>
      <c r="N94" s="4"/>
      <c r="O94" s="4"/>
      <c r="P94" s="4"/>
      <c r="Q94" s="4"/>
      <c r="R94" s="4"/>
      <c r="S94" s="4"/>
      <c r="T94" s="4"/>
      <c r="U94" s="4"/>
      <c r="V94" s="4"/>
      <c r="W94" s="4"/>
      <c r="X94" s="4"/>
      <c r="Y94" s="4"/>
      <c r="Z94" s="4"/>
    </row>
    <row r="95" spans="1:26">
      <c r="A95" s="87" t="s">
        <v>98</v>
      </c>
      <c r="B95" s="88">
        <f>'Year 0'!B95</f>
        <v>0</v>
      </c>
      <c r="C95" s="88">
        <f>'Year 1'!B95</f>
        <v>0</v>
      </c>
      <c r="D95" s="88">
        <f>'Year 2'!B95</f>
        <v>0</v>
      </c>
      <c r="E95" s="88">
        <f>'Year 3'!B95</f>
        <v>0</v>
      </c>
      <c r="F95" s="88">
        <f>'Year 4'!B95</f>
        <v>0</v>
      </c>
      <c r="G95" s="88">
        <f>'Year 5'!B95</f>
        <v>0</v>
      </c>
      <c r="H95" s="4"/>
      <c r="I95" s="4"/>
      <c r="J95" s="4"/>
      <c r="K95" s="4"/>
      <c r="L95" s="4"/>
      <c r="M95" s="4"/>
      <c r="N95" s="4"/>
      <c r="O95" s="4"/>
      <c r="P95" s="4"/>
      <c r="Q95" s="4"/>
      <c r="R95" s="4"/>
      <c r="S95" s="4"/>
      <c r="T95" s="4"/>
      <c r="U95" s="4"/>
      <c r="V95" s="4"/>
      <c r="W95" s="4"/>
      <c r="X95" s="4"/>
      <c r="Y95" s="4"/>
      <c r="Z95" s="4"/>
    </row>
    <row r="96" spans="1:26">
      <c r="A96" s="87" t="s">
        <v>99</v>
      </c>
      <c r="B96" s="88">
        <f>'Year 0'!B96</f>
        <v>0</v>
      </c>
      <c r="C96" s="88">
        <f>'Year 1'!B96</f>
        <v>0</v>
      </c>
      <c r="D96" s="88">
        <f>'Year 2'!B96</f>
        <v>0</v>
      </c>
      <c r="E96" s="88">
        <f>'Year 3'!B96</f>
        <v>0</v>
      </c>
      <c r="F96" s="88">
        <f>'Year 4'!B96</f>
        <v>0</v>
      </c>
      <c r="G96" s="88">
        <f>'Year 5'!B96</f>
        <v>0</v>
      </c>
      <c r="H96" s="4"/>
      <c r="I96" s="4"/>
      <c r="J96" s="4"/>
      <c r="K96" s="4"/>
      <c r="L96" s="4"/>
      <c r="M96" s="4"/>
      <c r="N96" s="4"/>
      <c r="O96" s="4"/>
      <c r="P96" s="4"/>
      <c r="Q96" s="4"/>
      <c r="R96" s="4"/>
      <c r="S96" s="4"/>
      <c r="T96" s="4"/>
      <c r="U96" s="4"/>
      <c r="V96" s="4"/>
      <c r="W96" s="4"/>
      <c r="X96" s="4"/>
      <c r="Y96" s="4"/>
      <c r="Z96" s="4"/>
    </row>
    <row r="97" spans="1:26">
      <c r="A97" s="87" t="s">
        <v>100</v>
      </c>
      <c r="B97" s="89">
        <f>'Year 0'!B97</f>
        <v>0</v>
      </c>
      <c r="C97" s="89">
        <f>'Year 1'!B97</f>
        <v>0</v>
      </c>
      <c r="D97" s="89">
        <f>'Year 2'!B97</f>
        <v>0</v>
      </c>
      <c r="E97" s="89">
        <f>'Year 3'!B97</f>
        <v>0</v>
      </c>
      <c r="F97" s="89">
        <f>'Year 4'!B97</f>
        <v>0</v>
      </c>
      <c r="G97" s="89">
        <f>'Year 5'!B97</f>
        <v>0</v>
      </c>
      <c r="H97" s="4"/>
      <c r="I97" s="4"/>
      <c r="J97" s="4"/>
      <c r="K97" s="4"/>
      <c r="L97" s="4"/>
      <c r="M97" s="4"/>
      <c r="N97" s="4"/>
      <c r="O97" s="4"/>
      <c r="P97" s="4"/>
      <c r="Q97" s="4"/>
      <c r="R97" s="4"/>
      <c r="S97" s="4"/>
      <c r="T97" s="4"/>
      <c r="U97" s="4"/>
      <c r="V97" s="4"/>
      <c r="W97" s="4"/>
      <c r="X97" s="4"/>
      <c r="Y97" s="4"/>
      <c r="Z97" s="4"/>
    </row>
    <row r="98" spans="1:26">
      <c r="A98" s="85" t="s">
        <v>204</v>
      </c>
      <c r="B98" s="90">
        <f t="shared" ref="B98:G98" si="14">SUM(B95:B97)</f>
        <v>0</v>
      </c>
      <c r="C98" s="90">
        <f t="shared" si="14"/>
        <v>0</v>
      </c>
      <c r="D98" s="90">
        <f t="shared" si="14"/>
        <v>0</v>
      </c>
      <c r="E98" s="90">
        <f t="shared" si="14"/>
        <v>0</v>
      </c>
      <c r="F98" s="90">
        <f t="shared" si="14"/>
        <v>0</v>
      </c>
      <c r="G98" s="90">
        <f t="shared" si="14"/>
        <v>0</v>
      </c>
      <c r="H98" s="4"/>
      <c r="I98" s="4"/>
      <c r="J98" s="4"/>
      <c r="K98" s="4"/>
      <c r="L98" s="4"/>
      <c r="M98" s="4"/>
      <c r="N98" s="4"/>
      <c r="O98" s="4"/>
      <c r="P98" s="4"/>
      <c r="Q98" s="4"/>
      <c r="R98" s="4"/>
      <c r="S98" s="4"/>
      <c r="T98" s="4"/>
      <c r="U98" s="4"/>
      <c r="V98" s="4"/>
      <c r="W98" s="4"/>
      <c r="X98" s="4"/>
      <c r="Y98" s="4"/>
      <c r="Z98" s="4"/>
    </row>
    <row r="99" spans="1:26">
      <c r="A99" s="85"/>
      <c r="B99" s="90"/>
      <c r="C99" s="88"/>
      <c r="D99" s="88"/>
      <c r="E99" s="88"/>
      <c r="F99" s="88"/>
      <c r="G99" s="88"/>
      <c r="H99" s="4"/>
      <c r="I99" s="4"/>
      <c r="J99" s="4"/>
      <c r="K99" s="4"/>
      <c r="L99" s="4"/>
      <c r="M99" s="4"/>
      <c r="N99" s="4"/>
      <c r="O99" s="4"/>
      <c r="P99" s="4"/>
      <c r="Q99" s="4"/>
      <c r="R99" s="4"/>
      <c r="S99" s="4"/>
      <c r="T99" s="4"/>
      <c r="U99" s="4"/>
      <c r="V99" s="4"/>
      <c r="W99" s="4"/>
      <c r="X99" s="4"/>
      <c r="Y99" s="4"/>
      <c r="Z99" s="4"/>
    </row>
    <row r="100" spans="1:26">
      <c r="A100" s="85" t="s">
        <v>205</v>
      </c>
      <c r="B100" s="88"/>
      <c r="C100" s="88"/>
      <c r="D100" s="88"/>
      <c r="E100" s="88"/>
      <c r="F100" s="88"/>
      <c r="G100" s="88"/>
      <c r="H100" s="4"/>
      <c r="I100" s="4"/>
      <c r="J100" s="4"/>
      <c r="K100" s="4"/>
      <c r="L100" s="4"/>
      <c r="M100" s="4"/>
      <c r="N100" s="4"/>
      <c r="O100" s="4"/>
      <c r="P100" s="4"/>
      <c r="Q100" s="4"/>
      <c r="R100" s="4"/>
      <c r="S100" s="4"/>
      <c r="T100" s="4"/>
      <c r="U100" s="4"/>
      <c r="V100" s="4"/>
      <c r="W100" s="4"/>
      <c r="X100" s="4"/>
      <c r="Y100" s="4"/>
      <c r="Z100" s="4"/>
    </row>
    <row r="101" spans="1:26">
      <c r="A101" s="87" t="s">
        <v>206</v>
      </c>
      <c r="B101" s="88">
        <f>'Year 0'!B101</f>
        <v>0</v>
      </c>
      <c r="C101" s="88">
        <f>'Year 1'!B101</f>
        <v>0</v>
      </c>
      <c r="D101" s="88">
        <f>'Year 2'!B101</f>
        <v>0</v>
      </c>
      <c r="E101" s="88">
        <f>'Year 3'!B101</f>
        <v>0</v>
      </c>
      <c r="F101" s="88">
        <f>'Year 4'!B101</f>
        <v>0</v>
      </c>
      <c r="G101" s="88">
        <f>'Year 5'!B101</f>
        <v>0</v>
      </c>
      <c r="H101" s="4"/>
      <c r="I101" s="4"/>
      <c r="J101" s="4"/>
      <c r="K101" s="4"/>
      <c r="L101" s="4"/>
      <c r="M101" s="4"/>
      <c r="N101" s="4"/>
      <c r="O101" s="4"/>
      <c r="P101" s="4"/>
      <c r="Q101" s="4"/>
      <c r="R101" s="4"/>
      <c r="S101" s="4"/>
      <c r="T101" s="4"/>
      <c r="U101" s="4"/>
      <c r="V101" s="4"/>
      <c r="W101" s="4"/>
      <c r="X101" s="4"/>
      <c r="Y101" s="4"/>
      <c r="Z101" s="4"/>
    </row>
    <row r="102" spans="1:26">
      <c r="A102" s="87" t="s">
        <v>107</v>
      </c>
      <c r="B102" s="88">
        <f>'Year 0'!B102</f>
        <v>0</v>
      </c>
      <c r="C102" s="88">
        <f>'Year 1'!B102</f>
        <v>0</v>
      </c>
      <c r="D102" s="88">
        <f>'Year 2'!B102</f>
        <v>0</v>
      </c>
      <c r="E102" s="88">
        <f>'Year 3'!B102</f>
        <v>0</v>
      </c>
      <c r="F102" s="88">
        <f>'Year 4'!B102</f>
        <v>0</v>
      </c>
      <c r="G102" s="88">
        <f>'Year 5'!B102</f>
        <v>0</v>
      </c>
      <c r="H102" s="4"/>
      <c r="I102" s="4"/>
      <c r="J102" s="4"/>
      <c r="K102" s="4"/>
      <c r="L102" s="4"/>
      <c r="M102" s="4"/>
      <c r="N102" s="4"/>
      <c r="O102" s="4"/>
      <c r="P102" s="4"/>
      <c r="Q102" s="4"/>
      <c r="R102" s="4"/>
      <c r="S102" s="4"/>
      <c r="T102" s="4"/>
      <c r="U102" s="4"/>
      <c r="V102" s="4"/>
      <c r="W102" s="4"/>
      <c r="X102" s="4"/>
      <c r="Y102" s="4"/>
      <c r="Z102" s="4"/>
    </row>
    <row r="103" spans="1:26">
      <c r="A103" s="87" t="s">
        <v>103</v>
      </c>
      <c r="B103" s="88">
        <f>'Year 0'!B103</f>
        <v>0</v>
      </c>
      <c r="C103" s="88">
        <f>'Year 1'!B103</f>
        <v>0</v>
      </c>
      <c r="D103" s="88">
        <f>'Year 2'!B103</f>
        <v>0</v>
      </c>
      <c r="E103" s="88">
        <f>'Year 3'!B103</f>
        <v>0</v>
      </c>
      <c r="F103" s="88">
        <f>'Year 4'!B103</f>
        <v>0</v>
      </c>
      <c r="G103" s="88">
        <f>'Year 5'!B103</f>
        <v>0</v>
      </c>
      <c r="H103" s="4"/>
      <c r="I103" s="4"/>
      <c r="J103" s="4"/>
      <c r="K103" s="4"/>
      <c r="L103" s="4"/>
      <c r="M103" s="4"/>
      <c r="N103" s="4"/>
      <c r="O103" s="4"/>
      <c r="P103" s="4"/>
      <c r="Q103" s="4"/>
      <c r="R103" s="4"/>
      <c r="S103" s="4"/>
      <c r="T103" s="4"/>
      <c r="U103" s="4"/>
      <c r="V103" s="4"/>
      <c r="W103" s="4"/>
      <c r="X103" s="4"/>
      <c r="Y103" s="4"/>
      <c r="Z103" s="4"/>
    </row>
    <row r="104" spans="1:26">
      <c r="A104" s="87" t="s">
        <v>109</v>
      </c>
      <c r="B104" s="88">
        <f>'Year 0'!B104</f>
        <v>0</v>
      </c>
      <c r="C104" s="88">
        <f>'Year 1'!B104</f>
        <v>0</v>
      </c>
      <c r="D104" s="88">
        <f>'Year 2'!B104</f>
        <v>0</v>
      </c>
      <c r="E104" s="88">
        <f>'Year 3'!B104</f>
        <v>0</v>
      </c>
      <c r="F104" s="88">
        <f>'Year 4'!B104</f>
        <v>0</v>
      </c>
      <c r="G104" s="88">
        <f>'Year 5'!B104</f>
        <v>0</v>
      </c>
      <c r="H104" s="4"/>
      <c r="I104" s="4"/>
      <c r="J104" s="4"/>
      <c r="K104" s="4"/>
      <c r="L104" s="4"/>
      <c r="M104" s="4"/>
      <c r="N104" s="4"/>
      <c r="O104" s="4"/>
      <c r="P104" s="4"/>
      <c r="Q104" s="4"/>
      <c r="R104" s="4"/>
      <c r="S104" s="4"/>
      <c r="T104" s="4"/>
      <c r="U104" s="4"/>
      <c r="V104" s="4"/>
      <c r="W104" s="4"/>
      <c r="X104" s="4"/>
      <c r="Y104" s="4"/>
      <c r="Z104" s="4"/>
    </row>
    <row r="105" spans="1:26">
      <c r="A105" s="87" t="s">
        <v>207</v>
      </c>
      <c r="B105" s="89">
        <f>'Year 0'!B105</f>
        <v>0</v>
      </c>
      <c r="C105" s="89">
        <f>'Year 1'!B105</f>
        <v>0</v>
      </c>
      <c r="D105" s="89">
        <f>'Year 2'!B105</f>
        <v>0</v>
      </c>
      <c r="E105" s="89">
        <f>'Year 3'!B105</f>
        <v>0</v>
      </c>
      <c r="F105" s="89">
        <f>'Year 4'!B105</f>
        <v>0</v>
      </c>
      <c r="G105" s="89">
        <f>'Year 5'!B105</f>
        <v>0</v>
      </c>
      <c r="H105" s="4"/>
      <c r="I105" s="4"/>
      <c r="J105" s="4"/>
      <c r="K105" s="4"/>
      <c r="L105" s="4"/>
      <c r="M105" s="4"/>
      <c r="N105" s="4"/>
      <c r="O105" s="4"/>
      <c r="P105" s="4"/>
      <c r="Q105" s="4"/>
      <c r="R105" s="4"/>
      <c r="S105" s="4"/>
      <c r="T105" s="4"/>
      <c r="U105" s="4"/>
      <c r="V105" s="4"/>
      <c r="W105" s="4"/>
      <c r="X105" s="4"/>
      <c r="Y105" s="4"/>
      <c r="Z105" s="4"/>
    </row>
    <row r="106" spans="1:26">
      <c r="A106" s="85" t="s">
        <v>208</v>
      </c>
      <c r="B106" s="90">
        <f t="shared" ref="B106:G106" si="15">SUM(B101:B105)</f>
        <v>0</v>
      </c>
      <c r="C106" s="90">
        <f t="shared" si="15"/>
        <v>0</v>
      </c>
      <c r="D106" s="90">
        <f t="shared" si="15"/>
        <v>0</v>
      </c>
      <c r="E106" s="90">
        <f t="shared" si="15"/>
        <v>0</v>
      </c>
      <c r="F106" s="90">
        <f t="shared" si="15"/>
        <v>0</v>
      </c>
      <c r="G106" s="90">
        <f t="shared" si="15"/>
        <v>0</v>
      </c>
      <c r="H106" s="4"/>
      <c r="I106" s="4"/>
      <c r="J106" s="4"/>
      <c r="K106" s="4"/>
      <c r="L106" s="4"/>
      <c r="M106" s="4"/>
      <c r="N106" s="4"/>
      <c r="O106" s="4"/>
      <c r="P106" s="4"/>
      <c r="Q106" s="4"/>
      <c r="R106" s="4"/>
      <c r="S106" s="4"/>
      <c r="T106" s="4"/>
      <c r="U106" s="4"/>
      <c r="V106" s="4"/>
      <c r="W106" s="4"/>
      <c r="X106" s="4"/>
      <c r="Y106" s="4"/>
      <c r="Z106" s="4"/>
    </row>
    <row r="107" spans="1:26">
      <c r="A107" s="85"/>
      <c r="B107" s="90"/>
      <c r="C107" s="88"/>
      <c r="D107" s="88"/>
      <c r="E107" s="88"/>
      <c r="F107" s="88"/>
      <c r="G107" s="88"/>
      <c r="H107" s="4"/>
      <c r="I107" s="4"/>
      <c r="J107" s="4"/>
      <c r="K107" s="4"/>
      <c r="L107" s="4"/>
      <c r="M107" s="4"/>
      <c r="N107" s="4"/>
      <c r="O107" s="4"/>
      <c r="P107" s="4"/>
      <c r="Q107" s="4"/>
      <c r="R107" s="4"/>
      <c r="S107" s="4"/>
      <c r="T107" s="4"/>
      <c r="U107" s="4"/>
      <c r="V107" s="4"/>
      <c r="W107" s="4"/>
      <c r="X107" s="4"/>
      <c r="Y107" s="4"/>
      <c r="Z107" s="4"/>
    </row>
    <row r="108" spans="1:26">
      <c r="A108" s="85" t="s">
        <v>209</v>
      </c>
      <c r="B108" s="88"/>
      <c r="C108" s="88"/>
      <c r="D108" s="88"/>
      <c r="E108" s="88"/>
      <c r="F108" s="88"/>
      <c r="G108" s="88"/>
      <c r="H108" s="4"/>
      <c r="I108" s="4"/>
      <c r="J108" s="4"/>
      <c r="K108" s="4"/>
      <c r="L108" s="4"/>
      <c r="M108" s="4"/>
      <c r="N108" s="4"/>
      <c r="O108" s="4"/>
      <c r="P108" s="4"/>
      <c r="Q108" s="4"/>
      <c r="R108" s="4"/>
      <c r="S108" s="4"/>
      <c r="T108" s="4"/>
      <c r="U108" s="4"/>
      <c r="V108" s="4"/>
      <c r="W108" s="4"/>
      <c r="X108" s="4"/>
      <c r="Y108" s="4"/>
      <c r="Z108" s="4"/>
    </row>
    <row r="109" spans="1:26">
      <c r="A109" s="87" t="s">
        <v>210</v>
      </c>
      <c r="B109" s="88">
        <f>'Year 0'!B109</f>
        <v>0</v>
      </c>
      <c r="C109" s="88">
        <f>'Year 1'!B109</f>
        <v>0</v>
      </c>
      <c r="D109" s="88">
        <f>'Year 2'!B109</f>
        <v>0</v>
      </c>
      <c r="E109" s="88">
        <f>'Year 3'!B109</f>
        <v>0</v>
      </c>
      <c r="F109" s="88">
        <f>'Year 4'!B109</f>
        <v>0</v>
      </c>
      <c r="G109" s="88">
        <f>'Year 5'!B109</f>
        <v>0</v>
      </c>
      <c r="H109" s="4"/>
      <c r="I109" s="4"/>
      <c r="J109" s="4"/>
      <c r="K109" s="4"/>
      <c r="L109" s="4"/>
      <c r="M109" s="4"/>
      <c r="N109" s="4"/>
      <c r="O109" s="4"/>
      <c r="P109" s="4"/>
      <c r="Q109" s="4"/>
      <c r="R109" s="4"/>
      <c r="S109" s="4"/>
      <c r="T109" s="4"/>
      <c r="U109" s="4"/>
      <c r="V109" s="4"/>
      <c r="W109" s="4"/>
      <c r="X109" s="4"/>
      <c r="Y109" s="4"/>
      <c r="Z109" s="4"/>
    </row>
    <row r="110" spans="1:26">
      <c r="A110" s="87" t="s">
        <v>113</v>
      </c>
      <c r="B110" s="88">
        <f>'Year 0'!B110</f>
        <v>0</v>
      </c>
      <c r="C110" s="88">
        <f>'Year 1'!B110</f>
        <v>0</v>
      </c>
      <c r="D110" s="88">
        <f>'Year 2'!B110</f>
        <v>0</v>
      </c>
      <c r="E110" s="88">
        <f>'Year 3'!B110</f>
        <v>0</v>
      </c>
      <c r="F110" s="88">
        <f>'Year 4'!B110</f>
        <v>0</v>
      </c>
      <c r="G110" s="88">
        <f>'Year 5'!B110</f>
        <v>0</v>
      </c>
      <c r="H110" s="4"/>
      <c r="I110" s="4"/>
      <c r="J110" s="4"/>
      <c r="K110" s="4"/>
      <c r="L110" s="4"/>
      <c r="M110" s="4"/>
      <c r="N110" s="4"/>
      <c r="O110" s="4"/>
      <c r="P110" s="4"/>
      <c r="Q110" s="4"/>
      <c r="R110" s="4"/>
      <c r="S110" s="4"/>
      <c r="T110" s="4"/>
      <c r="U110" s="4"/>
      <c r="V110" s="4"/>
      <c r="W110" s="4"/>
      <c r="X110" s="4"/>
      <c r="Y110" s="4"/>
      <c r="Z110" s="4"/>
    </row>
    <row r="111" spans="1:26">
      <c r="A111" s="87" t="s">
        <v>115</v>
      </c>
      <c r="B111" s="89">
        <f>'Year 0'!B111</f>
        <v>0</v>
      </c>
      <c r="C111" s="89">
        <f>'Year 1'!B111</f>
        <v>0</v>
      </c>
      <c r="D111" s="89">
        <f>'Year 2'!B111</f>
        <v>0</v>
      </c>
      <c r="E111" s="89">
        <f>'Year 3'!B111</f>
        <v>0</v>
      </c>
      <c r="F111" s="89">
        <f>'Year 4'!B111</f>
        <v>0</v>
      </c>
      <c r="G111" s="89">
        <f>'Year 5'!B111</f>
        <v>0</v>
      </c>
      <c r="H111" s="4"/>
      <c r="I111" s="4"/>
      <c r="J111" s="4"/>
      <c r="K111" s="4"/>
      <c r="L111" s="4"/>
      <c r="M111" s="4"/>
      <c r="N111" s="4"/>
      <c r="O111" s="4"/>
      <c r="P111" s="4"/>
      <c r="Q111" s="4"/>
      <c r="R111" s="4"/>
      <c r="S111" s="4"/>
      <c r="T111" s="4"/>
      <c r="U111" s="4"/>
      <c r="V111" s="4"/>
      <c r="W111" s="4"/>
      <c r="X111" s="4"/>
      <c r="Y111" s="4"/>
      <c r="Z111" s="4"/>
    </row>
    <row r="112" spans="1:26">
      <c r="A112" s="85" t="s">
        <v>211</v>
      </c>
      <c r="B112" s="88">
        <f t="shared" ref="B112:G112" si="16">SUM(B109:B111)</f>
        <v>0</v>
      </c>
      <c r="C112" s="88">
        <f t="shared" si="16"/>
        <v>0</v>
      </c>
      <c r="D112" s="88">
        <f t="shared" si="16"/>
        <v>0</v>
      </c>
      <c r="E112" s="88">
        <f t="shared" si="16"/>
        <v>0</v>
      </c>
      <c r="F112" s="88">
        <f t="shared" si="16"/>
        <v>0</v>
      </c>
      <c r="G112" s="88">
        <f t="shared" si="16"/>
        <v>0</v>
      </c>
      <c r="H112" s="4"/>
      <c r="I112" s="4"/>
      <c r="J112" s="4"/>
      <c r="K112" s="4"/>
      <c r="L112" s="4"/>
      <c r="M112" s="4"/>
      <c r="N112" s="4"/>
      <c r="O112" s="4"/>
      <c r="P112" s="4"/>
      <c r="Q112" s="4"/>
      <c r="R112" s="4"/>
      <c r="S112" s="4"/>
      <c r="T112" s="4"/>
      <c r="U112" s="4"/>
      <c r="V112" s="4"/>
      <c r="W112" s="4"/>
      <c r="X112" s="4"/>
      <c r="Y112" s="4"/>
      <c r="Z112" s="4"/>
    </row>
    <row r="113" spans="1:26">
      <c r="A113" s="87"/>
      <c r="B113" s="88"/>
      <c r="C113" s="88"/>
      <c r="D113" s="88"/>
      <c r="E113" s="88"/>
      <c r="F113" s="88"/>
      <c r="G113" s="88"/>
      <c r="H113" s="4"/>
      <c r="I113" s="4"/>
      <c r="J113" s="4"/>
      <c r="K113" s="4"/>
      <c r="L113" s="4"/>
      <c r="M113" s="4"/>
      <c r="N113" s="4"/>
      <c r="O113" s="4"/>
      <c r="P113" s="4"/>
      <c r="Q113" s="4"/>
      <c r="R113" s="4"/>
      <c r="S113" s="4"/>
      <c r="T113" s="4"/>
      <c r="U113" s="4"/>
      <c r="V113" s="4"/>
      <c r="W113" s="4"/>
      <c r="X113" s="4"/>
      <c r="Y113" s="4"/>
      <c r="Z113" s="4"/>
    </row>
    <row r="114" spans="1:26">
      <c r="A114" s="85" t="s">
        <v>212</v>
      </c>
      <c r="B114" s="88"/>
      <c r="C114" s="88"/>
      <c r="D114" s="88"/>
      <c r="E114" s="88"/>
      <c r="F114" s="88"/>
      <c r="G114" s="88"/>
      <c r="H114" s="4"/>
      <c r="I114" s="4"/>
      <c r="J114" s="4"/>
      <c r="K114" s="4"/>
      <c r="L114" s="4"/>
      <c r="M114" s="4"/>
      <c r="N114" s="4"/>
      <c r="O114" s="4"/>
      <c r="P114" s="4"/>
      <c r="Q114" s="4"/>
      <c r="R114" s="4"/>
      <c r="S114" s="4"/>
      <c r="T114" s="4"/>
      <c r="U114" s="4"/>
      <c r="V114" s="4"/>
      <c r="W114" s="4"/>
      <c r="X114" s="4"/>
      <c r="Y114" s="4"/>
      <c r="Z114" s="4"/>
    </row>
    <row r="115" spans="1:26" ht="45">
      <c r="A115" s="99" t="s">
        <v>213</v>
      </c>
      <c r="B115" s="88">
        <f>'Year 0'!B115</f>
        <v>0</v>
      </c>
      <c r="C115" s="88">
        <f>'Year 1'!B115</f>
        <v>0</v>
      </c>
      <c r="D115" s="88">
        <f>'Year 2'!B115</f>
        <v>0</v>
      </c>
      <c r="E115" s="88">
        <f>'Year 3'!B115</f>
        <v>0</v>
      </c>
      <c r="F115" s="88">
        <f>'Year 4'!B115</f>
        <v>0</v>
      </c>
      <c r="G115" s="88">
        <f>'Year 5'!B115</f>
        <v>0</v>
      </c>
      <c r="H115" s="4"/>
      <c r="I115" s="4"/>
      <c r="J115" s="4"/>
      <c r="K115" s="4"/>
      <c r="L115" s="4"/>
      <c r="M115" s="4"/>
      <c r="N115" s="4"/>
      <c r="O115" s="4"/>
      <c r="P115" s="4"/>
      <c r="Q115" s="4"/>
      <c r="R115" s="4"/>
      <c r="S115" s="4"/>
      <c r="T115" s="4"/>
      <c r="U115" s="4"/>
      <c r="V115" s="4"/>
      <c r="W115" s="4"/>
      <c r="X115" s="4"/>
      <c r="Y115" s="4"/>
      <c r="Z115" s="4"/>
    </row>
    <row r="116" spans="1:26">
      <c r="A116" s="68" t="s">
        <v>119</v>
      </c>
      <c r="B116" s="88">
        <f>'Year 0'!B116</f>
        <v>0</v>
      </c>
      <c r="C116" s="88">
        <f>'Year 1'!B116</f>
        <v>0</v>
      </c>
      <c r="D116" s="88">
        <f>'Year 2'!B116</f>
        <v>0</v>
      </c>
      <c r="E116" s="88">
        <f>'Year 3'!B116</f>
        <v>0</v>
      </c>
      <c r="F116" s="88">
        <f>'Year 4'!B116</f>
        <v>0</v>
      </c>
      <c r="G116" s="88">
        <f>'Year 5'!B116</f>
        <v>0</v>
      </c>
      <c r="H116" s="4"/>
      <c r="I116" s="4"/>
      <c r="J116" s="4"/>
      <c r="K116" s="4"/>
      <c r="L116" s="4"/>
      <c r="M116" s="4"/>
      <c r="N116" s="4"/>
      <c r="O116" s="4"/>
      <c r="P116" s="4"/>
      <c r="Q116" s="4"/>
      <c r="R116" s="4"/>
      <c r="S116" s="4"/>
      <c r="T116" s="4"/>
      <c r="U116" s="4"/>
      <c r="V116" s="4"/>
      <c r="W116" s="4"/>
      <c r="X116" s="4"/>
      <c r="Y116" s="4"/>
      <c r="Z116" s="4"/>
    </row>
    <row r="117" spans="1:26">
      <c r="A117" s="68" t="s">
        <v>120</v>
      </c>
      <c r="B117" s="88">
        <f>'Year 0'!B117</f>
        <v>0</v>
      </c>
      <c r="C117" s="88">
        <f>'Year 1'!B117</f>
        <v>0</v>
      </c>
      <c r="D117" s="88">
        <f>'Year 2'!B117</f>
        <v>0</v>
      </c>
      <c r="E117" s="88">
        <f>'Year 3'!B117</f>
        <v>0</v>
      </c>
      <c r="F117" s="88">
        <f>'Year 4'!B117</f>
        <v>0</v>
      </c>
      <c r="G117" s="88">
        <f>'Year 5'!B117</f>
        <v>0</v>
      </c>
      <c r="H117" s="4"/>
      <c r="I117" s="4"/>
      <c r="J117" s="4"/>
      <c r="K117" s="4"/>
      <c r="L117" s="4"/>
      <c r="M117" s="4"/>
      <c r="N117" s="4"/>
      <c r="O117" s="4"/>
      <c r="P117" s="4"/>
      <c r="Q117" s="4"/>
      <c r="R117" s="4"/>
      <c r="S117" s="4"/>
      <c r="T117" s="4"/>
      <c r="U117" s="4"/>
      <c r="V117" s="4"/>
      <c r="W117" s="4"/>
      <c r="X117" s="4"/>
      <c r="Y117" s="4"/>
      <c r="Z117" s="4"/>
    </row>
    <row r="118" spans="1:26">
      <c r="A118" s="65" t="s">
        <v>122</v>
      </c>
      <c r="B118" s="88">
        <f>'Year 0'!B118</f>
        <v>0</v>
      </c>
      <c r="C118" s="88">
        <f>'Year 1'!B118</f>
        <v>0</v>
      </c>
      <c r="D118" s="88">
        <f>'Year 2'!B118</f>
        <v>0</v>
      </c>
      <c r="E118" s="88">
        <f>'Year 3'!B118</f>
        <v>0</v>
      </c>
      <c r="F118" s="88">
        <f>'Year 4'!B118</f>
        <v>0</v>
      </c>
      <c r="G118" s="88">
        <f>'Year 5'!B118</f>
        <v>0</v>
      </c>
      <c r="H118" s="4"/>
      <c r="I118" s="4"/>
      <c r="J118" s="4"/>
      <c r="K118" s="4"/>
      <c r="L118" s="4"/>
      <c r="M118" s="4"/>
      <c r="N118" s="4"/>
      <c r="O118" s="4"/>
      <c r="P118" s="4"/>
      <c r="Q118" s="4"/>
      <c r="R118" s="4"/>
      <c r="S118" s="4"/>
      <c r="T118" s="4"/>
      <c r="U118" s="4"/>
      <c r="V118" s="4"/>
      <c r="W118" s="4"/>
      <c r="X118" s="4"/>
      <c r="Y118" s="4"/>
      <c r="Z118" s="4"/>
    </row>
    <row r="119" spans="1:26">
      <c r="A119" s="65" t="s">
        <v>123</v>
      </c>
      <c r="B119" s="88">
        <f>'Year 0'!B119</f>
        <v>0</v>
      </c>
      <c r="C119" s="88">
        <f>'Year 1'!B119</f>
        <v>0</v>
      </c>
      <c r="D119" s="88">
        <f>'Year 2'!B119</f>
        <v>0</v>
      </c>
      <c r="E119" s="88">
        <f>'Year 3'!B119</f>
        <v>0</v>
      </c>
      <c r="F119" s="88">
        <f>'Year 4'!B119</f>
        <v>0</v>
      </c>
      <c r="G119" s="88">
        <f>'Year 5'!B119</f>
        <v>0</v>
      </c>
      <c r="H119" s="4"/>
      <c r="I119" s="4"/>
      <c r="J119" s="4"/>
      <c r="K119" s="4"/>
      <c r="L119" s="4"/>
      <c r="M119" s="4"/>
      <c r="N119" s="4"/>
      <c r="O119" s="4"/>
      <c r="P119" s="4"/>
      <c r="Q119" s="4"/>
      <c r="R119" s="4"/>
      <c r="S119" s="4"/>
      <c r="T119" s="4"/>
      <c r="U119" s="4"/>
      <c r="V119" s="4"/>
      <c r="W119" s="4"/>
      <c r="X119" s="4"/>
      <c r="Y119" s="4"/>
      <c r="Z119" s="4"/>
    </row>
    <row r="120" spans="1:26">
      <c r="A120" s="65" t="s">
        <v>124</v>
      </c>
      <c r="B120" s="88">
        <f>'Year 0'!B120</f>
        <v>0</v>
      </c>
      <c r="C120" s="88">
        <f>'Year 1'!B120</f>
        <v>0</v>
      </c>
      <c r="D120" s="88">
        <f>'Year 2'!B120</f>
        <v>0</v>
      </c>
      <c r="E120" s="88">
        <f>'Year 3'!B120</f>
        <v>0</v>
      </c>
      <c r="F120" s="88">
        <f>'Year 4'!B120</f>
        <v>0</v>
      </c>
      <c r="G120" s="88">
        <f>'Year 5'!B120</f>
        <v>0</v>
      </c>
      <c r="H120" s="4"/>
      <c r="I120" s="4"/>
      <c r="J120" s="4"/>
      <c r="K120" s="4"/>
      <c r="L120" s="4"/>
      <c r="M120" s="4"/>
      <c r="N120" s="4"/>
      <c r="O120" s="4"/>
      <c r="P120" s="4"/>
      <c r="Q120" s="4"/>
      <c r="R120" s="4"/>
      <c r="S120" s="4"/>
      <c r="T120" s="4"/>
      <c r="U120" s="4"/>
      <c r="V120" s="4"/>
      <c r="W120" s="4"/>
      <c r="X120" s="4"/>
      <c r="Y120" s="4"/>
      <c r="Z120" s="4"/>
    </row>
    <row r="121" spans="1:26">
      <c r="A121" s="65" t="s">
        <v>125</v>
      </c>
      <c r="B121" s="88">
        <f>'Year 0'!B121</f>
        <v>0</v>
      </c>
      <c r="C121" s="88">
        <f>'Year 1'!B121</f>
        <v>0</v>
      </c>
      <c r="D121" s="88">
        <f>'Year 2'!B121</f>
        <v>0</v>
      </c>
      <c r="E121" s="88">
        <f>'Year 3'!B121</f>
        <v>0</v>
      </c>
      <c r="F121" s="88">
        <f>'Year 4'!B121</f>
        <v>0</v>
      </c>
      <c r="G121" s="88">
        <f>'Year 5'!B121</f>
        <v>0</v>
      </c>
      <c r="H121" s="4"/>
      <c r="I121" s="4"/>
      <c r="J121" s="4"/>
      <c r="K121" s="4"/>
      <c r="L121" s="4"/>
      <c r="M121" s="4"/>
      <c r="N121" s="4"/>
      <c r="O121" s="4"/>
      <c r="P121" s="4"/>
      <c r="Q121" s="4"/>
      <c r="R121" s="4"/>
      <c r="S121" s="4"/>
      <c r="T121" s="4"/>
      <c r="U121" s="4"/>
      <c r="V121" s="4"/>
      <c r="W121" s="4"/>
      <c r="X121" s="4"/>
      <c r="Y121" s="4"/>
      <c r="Z121" s="4"/>
    </row>
    <row r="122" spans="1:26">
      <c r="A122" s="65" t="s">
        <v>126</v>
      </c>
      <c r="B122" s="88">
        <f>'Year 0'!B122</f>
        <v>0</v>
      </c>
      <c r="C122" s="88">
        <f>'Year 1'!B122</f>
        <v>0</v>
      </c>
      <c r="D122" s="88">
        <f>'Year 2'!B122</f>
        <v>0</v>
      </c>
      <c r="E122" s="88">
        <f>'Year 3'!B122</f>
        <v>0</v>
      </c>
      <c r="F122" s="88">
        <f>'Year 4'!B122</f>
        <v>0</v>
      </c>
      <c r="G122" s="88">
        <f>'Year 5'!B122</f>
        <v>0</v>
      </c>
      <c r="H122" s="4"/>
      <c r="I122" s="4"/>
      <c r="J122" s="4"/>
      <c r="K122" s="4"/>
      <c r="L122" s="4"/>
      <c r="M122" s="4"/>
      <c r="N122" s="4"/>
      <c r="O122" s="4"/>
      <c r="P122" s="4"/>
      <c r="Q122" s="4"/>
      <c r="R122" s="4"/>
      <c r="S122" s="4"/>
      <c r="T122" s="4"/>
      <c r="U122" s="4"/>
      <c r="V122" s="4"/>
      <c r="W122" s="4"/>
      <c r="X122" s="4"/>
      <c r="Y122" s="4"/>
      <c r="Z122" s="4"/>
    </row>
    <row r="123" spans="1:26">
      <c r="A123" s="65" t="s">
        <v>127</v>
      </c>
      <c r="B123" s="88">
        <f>'Year 0'!B123</f>
        <v>0</v>
      </c>
      <c r="C123" s="88">
        <f>'Year 1'!B123</f>
        <v>0</v>
      </c>
      <c r="D123" s="88">
        <f>'Year 2'!B123</f>
        <v>0</v>
      </c>
      <c r="E123" s="88">
        <f>'Year 3'!B123</f>
        <v>0</v>
      </c>
      <c r="F123" s="88">
        <f>'Year 4'!B123</f>
        <v>0</v>
      </c>
      <c r="G123" s="88">
        <f>'Year 5'!B123</f>
        <v>0</v>
      </c>
      <c r="H123" s="4"/>
      <c r="I123" s="4"/>
      <c r="J123" s="4"/>
      <c r="K123" s="4"/>
      <c r="L123" s="4"/>
      <c r="M123" s="4"/>
      <c r="N123" s="4"/>
      <c r="O123" s="4"/>
      <c r="P123" s="4"/>
      <c r="Q123" s="4"/>
      <c r="R123" s="4"/>
      <c r="S123" s="4"/>
      <c r="T123" s="4"/>
      <c r="U123" s="4"/>
      <c r="V123" s="4"/>
      <c r="W123" s="4"/>
      <c r="X123" s="4"/>
      <c r="Y123" s="4"/>
      <c r="Z123" s="4"/>
    </row>
    <row r="124" spans="1:26">
      <c r="A124" s="65" t="s">
        <v>128</v>
      </c>
      <c r="B124" s="88">
        <f>'Year 0'!B124</f>
        <v>0</v>
      </c>
      <c r="C124" s="88">
        <f>'Year 1'!B124</f>
        <v>0</v>
      </c>
      <c r="D124" s="88">
        <f>'Year 2'!B124</f>
        <v>0</v>
      </c>
      <c r="E124" s="88">
        <f>'Year 3'!B124</f>
        <v>0</v>
      </c>
      <c r="F124" s="88">
        <f>'Year 4'!B124</f>
        <v>0</v>
      </c>
      <c r="G124" s="88">
        <f>'Year 5'!B124</f>
        <v>0</v>
      </c>
      <c r="H124" s="4"/>
      <c r="I124" s="4"/>
      <c r="J124" s="4"/>
      <c r="K124" s="4"/>
      <c r="L124" s="4"/>
      <c r="M124" s="4"/>
      <c r="N124" s="4"/>
      <c r="O124" s="4"/>
      <c r="P124" s="4"/>
      <c r="Q124" s="4"/>
      <c r="R124" s="4"/>
      <c r="S124" s="4"/>
      <c r="T124" s="4"/>
      <c r="U124" s="4"/>
      <c r="V124" s="4"/>
      <c r="W124" s="4"/>
      <c r="X124" s="4"/>
      <c r="Y124" s="4"/>
      <c r="Z124" s="4"/>
    </row>
    <row r="125" spans="1:26">
      <c r="A125" s="65" t="s">
        <v>129</v>
      </c>
      <c r="B125" s="88">
        <f>'Year 0'!B125</f>
        <v>0</v>
      </c>
      <c r="C125" s="88">
        <f>'Year 1'!B125</f>
        <v>0</v>
      </c>
      <c r="D125" s="88">
        <f>'Year 2'!B125</f>
        <v>0</v>
      </c>
      <c r="E125" s="88">
        <f>'Year 3'!B125</f>
        <v>0</v>
      </c>
      <c r="F125" s="88">
        <f>'Year 4'!B125</f>
        <v>0</v>
      </c>
      <c r="G125" s="88">
        <f>'Year 5'!B125</f>
        <v>0</v>
      </c>
      <c r="H125" s="4"/>
      <c r="I125" s="4"/>
      <c r="J125" s="4"/>
      <c r="K125" s="4"/>
      <c r="L125" s="4"/>
      <c r="M125" s="4"/>
      <c r="N125" s="4"/>
      <c r="O125" s="4"/>
      <c r="P125" s="4"/>
      <c r="Q125" s="4"/>
      <c r="R125" s="4"/>
      <c r="S125" s="4"/>
      <c r="T125" s="4"/>
      <c r="U125" s="4"/>
      <c r="V125" s="4"/>
      <c r="W125" s="4"/>
      <c r="X125" s="4"/>
      <c r="Y125" s="4"/>
      <c r="Z125" s="4"/>
    </row>
    <row r="126" spans="1:26">
      <c r="A126" s="65" t="s">
        <v>131</v>
      </c>
      <c r="B126" s="88">
        <f>'Year 0'!B126</f>
        <v>0</v>
      </c>
      <c r="C126" s="88">
        <f>'Year 1'!B126</f>
        <v>0</v>
      </c>
      <c r="D126" s="88">
        <f>'Year 2'!B126</f>
        <v>0</v>
      </c>
      <c r="E126" s="88">
        <f>'Year 3'!B126</f>
        <v>0</v>
      </c>
      <c r="F126" s="88">
        <f>'Year 4'!B126</f>
        <v>0</v>
      </c>
      <c r="G126" s="88">
        <f>'Year 5'!B126</f>
        <v>0</v>
      </c>
      <c r="H126" s="4"/>
      <c r="I126" s="4"/>
      <c r="J126" s="4"/>
      <c r="K126" s="4"/>
      <c r="L126" s="4"/>
      <c r="M126" s="4"/>
      <c r="N126" s="4"/>
      <c r="O126" s="4"/>
      <c r="P126" s="4"/>
      <c r="Q126" s="4"/>
      <c r="R126" s="4"/>
      <c r="S126" s="4"/>
      <c r="T126" s="4"/>
      <c r="U126" s="4"/>
      <c r="V126" s="4"/>
      <c r="W126" s="4"/>
      <c r="X126" s="4"/>
      <c r="Y126" s="4"/>
      <c r="Z126" s="4"/>
    </row>
    <row r="127" spans="1:26">
      <c r="A127" s="65" t="s">
        <v>132</v>
      </c>
      <c r="B127" s="88">
        <f>'Year 0'!B127</f>
        <v>0</v>
      </c>
      <c r="C127" s="88">
        <f>'Year 1'!B127</f>
        <v>0</v>
      </c>
      <c r="D127" s="88">
        <f>'Year 2'!B127</f>
        <v>0</v>
      </c>
      <c r="E127" s="88">
        <f>'Year 3'!B127</f>
        <v>0</v>
      </c>
      <c r="F127" s="88">
        <f>'Year 4'!B127</f>
        <v>0</v>
      </c>
      <c r="G127" s="88">
        <f>'Year 5'!B127</f>
        <v>0</v>
      </c>
      <c r="H127" s="4"/>
      <c r="I127" s="4"/>
      <c r="J127" s="4"/>
      <c r="K127" s="4"/>
      <c r="L127" s="4"/>
      <c r="M127" s="4"/>
      <c r="N127" s="4"/>
      <c r="O127" s="4"/>
      <c r="P127" s="4"/>
      <c r="Q127" s="4"/>
      <c r="R127" s="4"/>
      <c r="S127" s="4"/>
      <c r="T127" s="4"/>
      <c r="U127" s="4"/>
      <c r="V127" s="4"/>
      <c r="W127" s="4"/>
      <c r="X127" s="4"/>
      <c r="Y127" s="4"/>
      <c r="Z127" s="4"/>
    </row>
    <row r="128" spans="1:26">
      <c r="A128" s="65" t="s">
        <v>133</v>
      </c>
      <c r="B128" s="88">
        <f>'Year 0'!B128</f>
        <v>0</v>
      </c>
      <c r="C128" s="88">
        <f>'Year 1'!B128</f>
        <v>0</v>
      </c>
      <c r="D128" s="88">
        <f>'Year 2'!B128</f>
        <v>0</v>
      </c>
      <c r="E128" s="88">
        <f>'Year 3'!B128</f>
        <v>0</v>
      </c>
      <c r="F128" s="88">
        <f>'Year 4'!B128</f>
        <v>0</v>
      </c>
      <c r="G128" s="88">
        <f>'Year 5'!B128</f>
        <v>0</v>
      </c>
      <c r="H128" s="4"/>
      <c r="I128" s="4"/>
      <c r="J128" s="4"/>
      <c r="K128" s="4"/>
      <c r="L128" s="4"/>
      <c r="M128" s="4"/>
      <c r="N128" s="4"/>
      <c r="O128" s="4"/>
      <c r="P128" s="4"/>
      <c r="Q128" s="4"/>
      <c r="R128" s="4"/>
      <c r="S128" s="4"/>
      <c r="T128" s="4"/>
      <c r="U128" s="4"/>
      <c r="V128" s="4"/>
      <c r="W128" s="4"/>
      <c r="X128" s="4"/>
      <c r="Y128" s="4"/>
      <c r="Z128" s="4"/>
    </row>
    <row r="129" spans="1:26">
      <c r="A129" s="65" t="s">
        <v>134</v>
      </c>
      <c r="B129" s="89">
        <f>'Year 0'!B129</f>
        <v>0</v>
      </c>
      <c r="C129" s="89">
        <f>'Year 1'!B129</f>
        <v>0</v>
      </c>
      <c r="D129" s="89">
        <f>'Year 2'!B129</f>
        <v>0</v>
      </c>
      <c r="E129" s="89">
        <f>'Year 3'!B129</f>
        <v>0</v>
      </c>
      <c r="F129" s="89">
        <f>'Year 4'!B129</f>
        <v>0</v>
      </c>
      <c r="G129" s="89">
        <f>'Year 5'!B129</f>
        <v>0</v>
      </c>
      <c r="H129" s="4"/>
      <c r="I129" s="4"/>
      <c r="J129" s="4"/>
      <c r="K129" s="4"/>
      <c r="L129" s="4"/>
      <c r="M129" s="4"/>
      <c r="N129" s="4"/>
      <c r="O129" s="4"/>
      <c r="P129" s="4"/>
      <c r="Q129" s="4"/>
      <c r="R129" s="4"/>
      <c r="S129" s="4"/>
      <c r="T129" s="4"/>
      <c r="U129" s="4"/>
      <c r="V129" s="4"/>
      <c r="W129" s="4"/>
      <c r="X129" s="4"/>
      <c r="Y129" s="4"/>
      <c r="Z129" s="4"/>
    </row>
    <row r="130" spans="1:26">
      <c r="A130" s="85" t="s">
        <v>214</v>
      </c>
      <c r="B130" s="90">
        <f t="shared" ref="B130:G130" si="17">SUM(B115:B129)</f>
        <v>0</v>
      </c>
      <c r="C130" s="90">
        <f t="shared" si="17"/>
        <v>0</v>
      </c>
      <c r="D130" s="90">
        <f t="shared" si="17"/>
        <v>0</v>
      </c>
      <c r="E130" s="90">
        <f t="shared" si="17"/>
        <v>0</v>
      </c>
      <c r="F130" s="90">
        <f t="shared" si="17"/>
        <v>0</v>
      </c>
      <c r="G130" s="90">
        <f t="shared" si="17"/>
        <v>0</v>
      </c>
      <c r="H130" s="4"/>
      <c r="I130" s="4"/>
      <c r="J130" s="4"/>
      <c r="K130" s="4"/>
      <c r="L130" s="4"/>
      <c r="M130" s="4"/>
      <c r="N130" s="4"/>
      <c r="O130" s="4"/>
      <c r="P130" s="4"/>
      <c r="Q130" s="4"/>
      <c r="R130" s="4"/>
      <c r="S130" s="4"/>
      <c r="T130" s="4"/>
      <c r="U130" s="4"/>
      <c r="V130" s="4"/>
      <c r="W130" s="4"/>
      <c r="X130" s="4"/>
      <c r="Y130" s="4"/>
      <c r="Z130" s="4"/>
    </row>
    <row r="131" spans="1:26">
      <c r="A131" s="85"/>
      <c r="B131" s="90"/>
      <c r="C131" s="90"/>
      <c r="D131" s="90"/>
      <c r="E131" s="90"/>
      <c r="F131" s="90"/>
      <c r="G131" s="90"/>
      <c r="H131" s="4"/>
      <c r="I131" s="4"/>
      <c r="J131" s="4"/>
      <c r="K131" s="4"/>
      <c r="L131" s="4"/>
      <c r="M131" s="4"/>
      <c r="N131" s="4"/>
      <c r="O131" s="4"/>
      <c r="P131" s="4"/>
      <c r="Q131" s="4"/>
      <c r="R131" s="4"/>
      <c r="S131" s="4"/>
      <c r="T131" s="4"/>
      <c r="U131" s="4"/>
      <c r="V131" s="4"/>
      <c r="W131" s="4"/>
      <c r="X131" s="4"/>
      <c r="Y131" s="4"/>
      <c r="Z131" s="4"/>
    </row>
    <row r="132" spans="1:26">
      <c r="A132" s="85" t="s">
        <v>215</v>
      </c>
      <c r="B132" s="88"/>
      <c r="C132" s="90"/>
      <c r="D132" s="90"/>
      <c r="E132" s="90"/>
      <c r="F132" s="90"/>
      <c r="G132" s="90"/>
      <c r="H132" s="4"/>
      <c r="I132" s="4"/>
      <c r="J132" s="4"/>
      <c r="K132" s="4"/>
      <c r="L132" s="4"/>
      <c r="M132" s="4"/>
      <c r="N132" s="4"/>
      <c r="O132" s="4"/>
      <c r="P132" s="4"/>
      <c r="Q132" s="4"/>
      <c r="R132" s="4"/>
      <c r="S132" s="4"/>
      <c r="T132" s="4"/>
      <c r="U132" s="4"/>
      <c r="V132" s="4"/>
      <c r="W132" s="4"/>
      <c r="X132" s="4"/>
      <c r="Y132" s="4"/>
      <c r="Z132" s="4"/>
    </row>
    <row r="133" spans="1:26">
      <c r="A133" s="87" t="s">
        <v>136</v>
      </c>
      <c r="B133" s="88">
        <f>'Year 0'!B133</f>
        <v>0</v>
      </c>
      <c r="C133" s="88">
        <f>'Year 1'!B133</f>
        <v>0</v>
      </c>
      <c r="D133" s="88">
        <f>'Year 2'!B133</f>
        <v>0</v>
      </c>
      <c r="E133" s="88">
        <f>'Year 3'!B133</f>
        <v>0</v>
      </c>
      <c r="F133" s="88">
        <f>'Year 4'!B133</f>
        <v>0</v>
      </c>
      <c r="G133" s="88">
        <f>'Year 5'!B133</f>
        <v>0</v>
      </c>
      <c r="H133" s="4"/>
      <c r="I133" s="4"/>
      <c r="J133" s="4"/>
      <c r="K133" s="4"/>
      <c r="L133" s="4"/>
      <c r="M133" s="4"/>
      <c r="N133" s="4"/>
      <c r="O133" s="4"/>
      <c r="P133" s="4"/>
      <c r="Q133" s="4"/>
      <c r="R133" s="4"/>
      <c r="S133" s="4"/>
      <c r="T133" s="4"/>
      <c r="U133" s="4"/>
      <c r="V133" s="4"/>
      <c r="W133" s="4"/>
      <c r="X133" s="4"/>
      <c r="Y133" s="4"/>
      <c r="Z133" s="4"/>
    </row>
    <row r="134" spans="1:26">
      <c r="A134" s="87" t="s">
        <v>137</v>
      </c>
      <c r="B134" s="89">
        <f>'Year 0'!B134</f>
        <v>0</v>
      </c>
      <c r="C134" s="89">
        <f>'Year 1'!B134</f>
        <v>0</v>
      </c>
      <c r="D134" s="89">
        <f>'Year 2'!B134</f>
        <v>0</v>
      </c>
      <c r="E134" s="89">
        <f>'Year 3'!B134</f>
        <v>0</v>
      </c>
      <c r="F134" s="89">
        <f>'Year 4'!B134</f>
        <v>0</v>
      </c>
      <c r="G134" s="89">
        <f>'Year 5'!B134</f>
        <v>0</v>
      </c>
      <c r="H134" s="4"/>
      <c r="I134" s="4"/>
      <c r="J134" s="4"/>
      <c r="K134" s="4"/>
      <c r="L134" s="4"/>
      <c r="M134" s="4"/>
      <c r="N134" s="4"/>
      <c r="O134" s="4"/>
      <c r="P134" s="4"/>
      <c r="Q134" s="4"/>
      <c r="R134" s="4"/>
      <c r="S134" s="4"/>
      <c r="T134" s="4"/>
      <c r="U134" s="4"/>
      <c r="V134" s="4"/>
      <c r="W134" s="4"/>
      <c r="X134" s="4"/>
      <c r="Y134" s="4"/>
      <c r="Z134" s="4"/>
    </row>
    <row r="135" spans="1:26">
      <c r="A135" s="85" t="s">
        <v>216</v>
      </c>
      <c r="B135" s="90">
        <f t="shared" ref="B135:G135" si="18">SUM(B133:B134)</f>
        <v>0</v>
      </c>
      <c r="C135" s="90">
        <f t="shared" si="18"/>
        <v>0</v>
      </c>
      <c r="D135" s="90">
        <f t="shared" si="18"/>
        <v>0</v>
      </c>
      <c r="E135" s="90">
        <f t="shared" si="18"/>
        <v>0</v>
      </c>
      <c r="F135" s="90">
        <f t="shared" si="18"/>
        <v>0</v>
      </c>
      <c r="G135" s="90">
        <f t="shared" si="18"/>
        <v>0</v>
      </c>
      <c r="H135" s="4"/>
      <c r="I135" s="4"/>
      <c r="J135" s="4"/>
      <c r="K135" s="4"/>
      <c r="L135" s="4"/>
      <c r="M135" s="4"/>
      <c r="N135" s="4"/>
      <c r="O135" s="4"/>
      <c r="P135" s="4"/>
      <c r="Q135" s="4"/>
      <c r="R135" s="4"/>
      <c r="S135" s="4"/>
      <c r="T135" s="4"/>
      <c r="U135" s="4"/>
      <c r="V135" s="4"/>
      <c r="W135" s="4"/>
      <c r="X135" s="4"/>
      <c r="Y135" s="4"/>
      <c r="Z135" s="4"/>
    </row>
    <row r="136" spans="1:26">
      <c r="A136" s="85"/>
      <c r="B136" s="90"/>
      <c r="C136" s="88"/>
      <c r="D136" s="88"/>
      <c r="E136" s="88"/>
      <c r="F136" s="88"/>
      <c r="G136" s="88"/>
      <c r="H136" s="4"/>
      <c r="I136" s="4"/>
      <c r="J136" s="4"/>
      <c r="K136" s="4"/>
      <c r="L136" s="4"/>
      <c r="M136" s="4"/>
      <c r="N136" s="4"/>
      <c r="O136" s="4"/>
      <c r="P136" s="4"/>
      <c r="Q136" s="4"/>
      <c r="R136" s="4"/>
      <c r="S136" s="4"/>
      <c r="T136" s="4"/>
      <c r="U136" s="4"/>
      <c r="V136" s="4"/>
      <c r="W136" s="4"/>
      <c r="X136" s="4"/>
      <c r="Y136" s="4"/>
      <c r="Z136" s="4"/>
    </row>
    <row r="137" spans="1:26">
      <c r="A137" s="85" t="s">
        <v>217</v>
      </c>
      <c r="B137" s="88"/>
      <c r="C137" s="88"/>
      <c r="D137" s="88"/>
      <c r="E137" s="88"/>
      <c r="F137" s="88"/>
      <c r="G137" s="88"/>
      <c r="H137" s="4"/>
      <c r="I137" s="4"/>
      <c r="J137" s="4"/>
      <c r="K137" s="4"/>
      <c r="L137" s="4"/>
      <c r="M137" s="4"/>
      <c r="N137" s="4"/>
      <c r="O137" s="4"/>
      <c r="P137" s="4"/>
      <c r="Q137" s="4"/>
      <c r="R137" s="4"/>
      <c r="S137" s="4"/>
      <c r="T137" s="4"/>
      <c r="U137" s="4"/>
      <c r="V137" s="4"/>
      <c r="W137" s="4"/>
      <c r="X137" s="4"/>
      <c r="Y137" s="4"/>
      <c r="Z137" s="4"/>
    </row>
    <row r="138" spans="1:26">
      <c r="A138" s="87" t="s">
        <v>218</v>
      </c>
      <c r="B138" s="88">
        <f>'Year 0'!B138</f>
        <v>0</v>
      </c>
      <c r="C138" s="88">
        <f>'Year 1'!B138</f>
        <v>5500</v>
      </c>
      <c r="D138" s="88">
        <f>'Year 2'!B138</f>
        <v>5500</v>
      </c>
      <c r="E138" s="88">
        <f>'Year 3'!B138</f>
        <v>7000</v>
      </c>
      <c r="F138" s="88">
        <f>'Year 4'!B138</f>
        <v>7000</v>
      </c>
      <c r="G138" s="88">
        <f>'Year 5'!B138</f>
        <v>7000</v>
      </c>
      <c r="H138" s="4"/>
      <c r="I138" s="4"/>
      <c r="J138" s="4"/>
      <c r="K138" s="4"/>
      <c r="L138" s="4"/>
      <c r="M138" s="4"/>
      <c r="N138" s="4"/>
      <c r="O138" s="4"/>
      <c r="P138" s="4"/>
      <c r="Q138" s="4"/>
      <c r="R138" s="4"/>
      <c r="S138" s="4"/>
      <c r="T138" s="4"/>
      <c r="U138" s="4"/>
      <c r="V138" s="4"/>
      <c r="W138" s="4"/>
      <c r="X138" s="4"/>
      <c r="Y138" s="4"/>
      <c r="Z138" s="4"/>
    </row>
    <row r="139" spans="1:26">
      <c r="A139" s="87" t="s">
        <v>219</v>
      </c>
      <c r="B139" s="88">
        <f>'Year 0'!B139</f>
        <v>0</v>
      </c>
      <c r="C139" s="88">
        <f>'Year 1'!B139</f>
        <v>15000</v>
      </c>
      <c r="D139" s="88">
        <f>'Year 2'!B139</f>
        <v>15000</v>
      </c>
      <c r="E139" s="88">
        <f>'Year 3'!B139</f>
        <v>15000</v>
      </c>
      <c r="F139" s="88">
        <f>'Year 4'!B139</f>
        <v>15000</v>
      </c>
      <c r="G139" s="88">
        <f>'Year 5'!B139</f>
        <v>15000</v>
      </c>
      <c r="H139" s="4"/>
      <c r="I139" s="4"/>
      <c r="J139" s="4"/>
      <c r="K139" s="4"/>
      <c r="L139" s="4"/>
      <c r="M139" s="4"/>
      <c r="N139" s="4"/>
      <c r="O139" s="4"/>
      <c r="P139" s="4"/>
      <c r="Q139" s="4"/>
      <c r="R139" s="4"/>
      <c r="S139" s="4"/>
      <c r="T139" s="4"/>
      <c r="U139" s="4"/>
      <c r="V139" s="4"/>
      <c r="W139" s="4"/>
      <c r="X139" s="4"/>
      <c r="Y139" s="4"/>
      <c r="Z139" s="4"/>
    </row>
    <row r="140" spans="1:26">
      <c r="A140" s="65" t="s">
        <v>220</v>
      </c>
      <c r="B140" s="88">
        <f>'Year 0'!B140</f>
        <v>0</v>
      </c>
      <c r="C140" s="88">
        <f>'Year 1'!B140</f>
        <v>15000</v>
      </c>
      <c r="D140" s="88">
        <f>'Year 2'!B140</f>
        <v>15000</v>
      </c>
      <c r="E140" s="88">
        <f>'Year 3'!B140</f>
        <v>15000</v>
      </c>
      <c r="F140" s="88">
        <f>'Year 4'!B140</f>
        <v>15000</v>
      </c>
      <c r="G140" s="88">
        <f>'Year 5'!B140</f>
        <v>15000</v>
      </c>
      <c r="H140" s="4"/>
      <c r="I140" s="4"/>
      <c r="J140" s="4"/>
      <c r="K140" s="4"/>
      <c r="L140" s="4"/>
      <c r="M140" s="4"/>
      <c r="N140" s="4"/>
      <c r="O140" s="4"/>
      <c r="P140" s="4"/>
      <c r="Q140" s="4"/>
      <c r="R140" s="4"/>
      <c r="S140" s="4"/>
      <c r="T140" s="4"/>
      <c r="U140" s="4"/>
      <c r="V140" s="4"/>
      <c r="W140" s="4"/>
      <c r="X140" s="4"/>
      <c r="Y140" s="4"/>
      <c r="Z140" s="4"/>
    </row>
    <row r="141" spans="1:26">
      <c r="A141" s="87" t="s">
        <v>221</v>
      </c>
      <c r="B141" s="88">
        <f>'Year 0'!B141</f>
        <v>0</v>
      </c>
      <c r="C141" s="88">
        <f>'Year 1'!B141</f>
        <v>15000</v>
      </c>
      <c r="D141" s="88">
        <f>'Year 2'!B141</f>
        <v>15000</v>
      </c>
      <c r="E141" s="88">
        <f>'Year 3'!B141</f>
        <v>25000</v>
      </c>
      <c r="F141" s="88">
        <f>'Year 4'!B141</f>
        <v>25000</v>
      </c>
      <c r="G141" s="88">
        <f>'Year 5'!B141</f>
        <v>25000</v>
      </c>
      <c r="H141" s="4"/>
      <c r="I141" s="4"/>
      <c r="J141" s="4"/>
      <c r="K141" s="4"/>
      <c r="L141" s="4"/>
      <c r="M141" s="4"/>
      <c r="N141" s="4"/>
      <c r="O141" s="4"/>
      <c r="P141" s="4"/>
      <c r="Q141" s="4"/>
      <c r="R141" s="4"/>
      <c r="S141" s="4"/>
      <c r="T141" s="4"/>
      <c r="U141" s="4"/>
      <c r="V141" s="4"/>
      <c r="W141" s="4"/>
      <c r="X141" s="4"/>
      <c r="Y141" s="4"/>
      <c r="Z141" s="4"/>
    </row>
    <row r="142" spans="1:26">
      <c r="A142" s="87" t="s">
        <v>222</v>
      </c>
      <c r="B142" s="88">
        <f>'Year 0'!B142</f>
        <v>0</v>
      </c>
      <c r="C142" s="88">
        <f>'Year 1'!B142</f>
        <v>90000</v>
      </c>
      <c r="D142" s="88">
        <f>'Year 2'!B142</f>
        <v>90000</v>
      </c>
      <c r="E142" s="88">
        <f>'Year 3'!B142</f>
        <v>125000</v>
      </c>
      <c r="F142" s="88">
        <f>'Year 4'!B142</f>
        <v>125000</v>
      </c>
      <c r="G142" s="88">
        <f>'Year 5'!B142</f>
        <v>125000</v>
      </c>
      <c r="H142" s="4"/>
      <c r="I142" s="4"/>
      <c r="J142" s="4"/>
      <c r="K142" s="4"/>
      <c r="L142" s="4"/>
      <c r="M142" s="4"/>
      <c r="N142" s="4"/>
      <c r="O142" s="4"/>
      <c r="P142" s="4"/>
      <c r="Q142" s="4"/>
      <c r="R142" s="4"/>
      <c r="S142" s="4"/>
      <c r="T142" s="4"/>
      <c r="U142" s="4"/>
      <c r="V142" s="4"/>
      <c r="W142" s="4"/>
      <c r="X142" s="4"/>
      <c r="Y142" s="4"/>
      <c r="Z142" s="4"/>
    </row>
    <row r="143" spans="1:26">
      <c r="A143" s="87" t="s">
        <v>223</v>
      </c>
      <c r="B143" s="88">
        <f>'Year 0'!B143</f>
        <v>0</v>
      </c>
      <c r="C143" s="88">
        <f>'Year 1'!B143</f>
        <v>2500</v>
      </c>
      <c r="D143" s="88">
        <f>'Year 2'!B143</f>
        <v>2500</v>
      </c>
      <c r="E143" s="88">
        <f>'Year 3'!B143</f>
        <v>2500</v>
      </c>
      <c r="F143" s="88">
        <f>'Year 4'!B143</f>
        <v>2500</v>
      </c>
      <c r="G143" s="88">
        <f>'Year 5'!B143</f>
        <v>2500</v>
      </c>
      <c r="H143" s="4"/>
      <c r="I143" s="4"/>
      <c r="J143" s="4"/>
      <c r="K143" s="4"/>
      <c r="L143" s="4"/>
      <c r="M143" s="4"/>
      <c r="N143" s="4"/>
      <c r="O143" s="4"/>
      <c r="P143" s="4"/>
      <c r="Q143" s="4"/>
      <c r="R143" s="4"/>
      <c r="S143" s="4"/>
      <c r="T143" s="4"/>
      <c r="U143" s="4"/>
      <c r="V143" s="4"/>
      <c r="W143" s="4"/>
      <c r="X143" s="4"/>
      <c r="Y143" s="4"/>
      <c r="Z143" s="4"/>
    </row>
    <row r="144" spans="1:26">
      <c r="A144" s="87" t="s">
        <v>224</v>
      </c>
      <c r="B144" s="88">
        <f>'Year 0'!B144</f>
        <v>0</v>
      </c>
      <c r="C144" s="88">
        <f>'Year 1'!B144</f>
        <v>6000</v>
      </c>
      <c r="D144" s="88">
        <f>'Year 2'!B144</f>
        <v>6000</v>
      </c>
      <c r="E144" s="88">
        <f>'Year 3'!B144</f>
        <v>6000</v>
      </c>
      <c r="F144" s="88">
        <f>'Year 4'!B144</f>
        <v>6000</v>
      </c>
      <c r="G144" s="88">
        <f>'Year 5'!B144</f>
        <v>6000</v>
      </c>
      <c r="H144" s="4"/>
      <c r="I144" s="4"/>
      <c r="J144" s="4"/>
      <c r="K144" s="4"/>
      <c r="L144" s="4"/>
      <c r="M144" s="4"/>
      <c r="N144" s="4"/>
      <c r="O144" s="4"/>
      <c r="P144" s="4"/>
      <c r="Q144" s="4"/>
      <c r="R144" s="4"/>
      <c r="S144" s="4"/>
      <c r="T144" s="4"/>
      <c r="U144" s="4"/>
      <c r="V144" s="4"/>
      <c r="W144" s="4"/>
      <c r="X144" s="4"/>
      <c r="Y144" s="4"/>
      <c r="Z144" s="4"/>
    </row>
    <row r="145" spans="1:26">
      <c r="A145" s="87" t="s">
        <v>225</v>
      </c>
      <c r="B145" s="88">
        <f>'Year 0'!B145</f>
        <v>0</v>
      </c>
      <c r="C145" s="88">
        <f>'Year 1'!B145</f>
        <v>80000</v>
      </c>
      <c r="D145" s="88">
        <f>'Year 2'!B145</f>
        <v>80000</v>
      </c>
      <c r="E145" s="88">
        <f>'Year 3'!B145</f>
        <v>100000</v>
      </c>
      <c r="F145" s="88">
        <f>'Year 4'!B145</f>
        <v>100000</v>
      </c>
      <c r="G145" s="88">
        <f>'Year 5'!B145</f>
        <v>100000</v>
      </c>
      <c r="H145" s="4"/>
      <c r="I145" s="4"/>
      <c r="J145" s="4"/>
      <c r="K145" s="4"/>
      <c r="L145" s="4"/>
      <c r="M145" s="4"/>
      <c r="N145" s="4"/>
      <c r="O145" s="4"/>
      <c r="P145" s="4"/>
      <c r="Q145" s="4"/>
      <c r="R145" s="4"/>
      <c r="S145" s="4"/>
      <c r="T145" s="4"/>
      <c r="U145" s="4"/>
      <c r="V145" s="4"/>
      <c r="W145" s="4"/>
      <c r="X145" s="4"/>
      <c r="Y145" s="4"/>
      <c r="Z145" s="4"/>
    </row>
    <row r="146" spans="1:26">
      <c r="A146" s="87" t="s">
        <v>226</v>
      </c>
      <c r="B146" s="88">
        <f>'Year 0'!B146</f>
        <v>0</v>
      </c>
      <c r="C146" s="88">
        <f>'Year 1'!B146</f>
        <v>1215000</v>
      </c>
      <c r="D146" s="88">
        <f>'Year 2'!B146</f>
        <v>1620000</v>
      </c>
      <c r="E146" s="88">
        <f>'Year 3'!B146</f>
        <v>1812038</v>
      </c>
      <c r="F146" s="88">
        <f>'Year 4'!B146</f>
        <v>1809819</v>
      </c>
      <c r="G146" s="88">
        <f>'Year 5'!B146</f>
        <v>1811901</v>
      </c>
      <c r="H146" s="4"/>
      <c r="I146" s="4"/>
      <c r="J146" s="4"/>
      <c r="K146" s="4"/>
      <c r="L146" s="4"/>
      <c r="M146" s="4"/>
      <c r="N146" s="4"/>
      <c r="O146" s="4"/>
      <c r="P146" s="4"/>
      <c r="Q146" s="4"/>
      <c r="R146" s="4"/>
      <c r="S146" s="4"/>
      <c r="T146" s="4"/>
      <c r="U146" s="4"/>
      <c r="V146" s="4"/>
      <c r="W146" s="4"/>
      <c r="X146" s="4"/>
      <c r="Y146" s="4"/>
      <c r="Z146" s="4"/>
    </row>
    <row r="147" spans="1:26">
      <c r="A147" s="87" t="s">
        <v>227</v>
      </c>
      <c r="B147" s="88">
        <f>'Year 0'!B147</f>
        <v>0</v>
      </c>
      <c r="C147" s="88">
        <f>'Year 1'!B147</f>
        <v>0</v>
      </c>
      <c r="D147" s="88">
        <f>'Year 2'!B147</f>
        <v>0</v>
      </c>
      <c r="E147" s="88">
        <f>'Year 3'!B147</f>
        <v>0</v>
      </c>
      <c r="F147" s="88">
        <f>'Year 4'!B147</f>
        <v>0</v>
      </c>
      <c r="G147" s="88">
        <f>'Year 5'!B147</f>
        <v>0</v>
      </c>
      <c r="H147" s="4"/>
      <c r="I147" s="4"/>
      <c r="J147" s="4"/>
      <c r="K147" s="4"/>
      <c r="L147" s="4"/>
      <c r="M147" s="4"/>
      <c r="N147" s="4"/>
      <c r="O147" s="4"/>
      <c r="P147" s="4"/>
      <c r="Q147" s="4"/>
      <c r="R147" s="4"/>
      <c r="S147" s="4"/>
      <c r="T147" s="4"/>
      <c r="U147" s="4"/>
      <c r="V147" s="4"/>
      <c r="W147" s="4"/>
      <c r="X147" s="4"/>
      <c r="Y147" s="4"/>
      <c r="Z147" s="4"/>
    </row>
    <row r="148" spans="1:26">
      <c r="A148" s="87" t="s">
        <v>228</v>
      </c>
      <c r="B148" s="88">
        <f>'Year 0'!B148</f>
        <v>0</v>
      </c>
      <c r="C148" s="88">
        <f>'Year 1'!B148</f>
        <v>0</v>
      </c>
      <c r="D148" s="88">
        <f>'Year 2'!B148</f>
        <v>0</v>
      </c>
      <c r="E148" s="88">
        <f>'Year 3'!B148</f>
        <v>0</v>
      </c>
      <c r="F148" s="88">
        <f>'Year 4'!B148</f>
        <v>0</v>
      </c>
      <c r="G148" s="88">
        <f>'Year 5'!B148</f>
        <v>0</v>
      </c>
      <c r="H148" s="4"/>
      <c r="I148" s="4"/>
      <c r="J148" s="4"/>
      <c r="K148" s="4"/>
      <c r="L148" s="4"/>
      <c r="M148" s="4"/>
      <c r="N148" s="4"/>
      <c r="O148" s="4"/>
      <c r="P148" s="4"/>
      <c r="Q148" s="4"/>
      <c r="R148" s="4"/>
      <c r="S148" s="4"/>
      <c r="T148" s="4"/>
      <c r="U148" s="4"/>
      <c r="V148" s="4"/>
      <c r="W148" s="4"/>
      <c r="X148" s="4"/>
      <c r="Y148" s="4"/>
      <c r="Z148" s="4"/>
    </row>
    <row r="149" spans="1:26">
      <c r="A149" s="87" t="s">
        <v>229</v>
      </c>
      <c r="B149" s="88">
        <f>'Year 0'!B149</f>
        <v>0</v>
      </c>
      <c r="C149" s="88">
        <f>'Year 1'!B149</f>
        <v>30000</v>
      </c>
      <c r="D149" s="88">
        <f>'Year 2'!B149</f>
        <v>35000</v>
      </c>
      <c r="E149" s="88">
        <f>'Year 3'!B149</f>
        <v>45000</v>
      </c>
      <c r="F149" s="88">
        <f>'Year 4'!B149</f>
        <v>50000</v>
      </c>
      <c r="G149" s="88">
        <f>'Year 5'!B149</f>
        <v>55000</v>
      </c>
      <c r="H149" s="4"/>
      <c r="I149" s="4"/>
      <c r="J149" s="4"/>
      <c r="K149" s="4"/>
      <c r="L149" s="4"/>
      <c r="M149" s="4"/>
      <c r="N149" s="4"/>
      <c r="O149" s="4"/>
      <c r="P149" s="4"/>
      <c r="Q149" s="4"/>
      <c r="R149" s="4"/>
      <c r="S149" s="4"/>
      <c r="T149" s="4"/>
      <c r="U149" s="4"/>
      <c r="V149" s="4"/>
      <c r="W149" s="4"/>
      <c r="X149" s="4"/>
      <c r="Y149" s="4"/>
      <c r="Z149" s="4"/>
    </row>
    <row r="150" spans="1:26">
      <c r="A150" s="87" t="s">
        <v>230</v>
      </c>
      <c r="B150" s="88">
        <f>'Year 0'!B150</f>
        <v>0</v>
      </c>
      <c r="C150" s="88">
        <f>'Year 1'!B150</f>
        <v>50000</v>
      </c>
      <c r="D150" s="88">
        <f>'Year 2'!B150</f>
        <v>64000</v>
      </c>
      <c r="E150" s="88">
        <f>'Year 3'!B150</f>
        <v>70000</v>
      </c>
      <c r="F150" s="88">
        <f>'Year 4'!B150</f>
        <v>72000</v>
      </c>
      <c r="G150" s="88">
        <f>'Year 5'!B150</f>
        <v>72000</v>
      </c>
      <c r="H150" s="4"/>
      <c r="I150" s="4"/>
      <c r="J150" s="4"/>
      <c r="K150" s="4"/>
      <c r="L150" s="4"/>
      <c r="M150" s="4"/>
      <c r="N150" s="4"/>
      <c r="O150" s="4"/>
      <c r="P150" s="4"/>
      <c r="Q150" s="4"/>
      <c r="R150" s="4"/>
      <c r="S150" s="4"/>
      <c r="T150" s="4"/>
      <c r="U150" s="4"/>
      <c r="V150" s="4"/>
      <c r="W150" s="4"/>
      <c r="X150" s="4"/>
      <c r="Y150" s="4"/>
      <c r="Z150" s="4"/>
    </row>
    <row r="151" spans="1:26">
      <c r="A151" s="87" t="s">
        <v>231</v>
      </c>
      <c r="B151" s="88">
        <f>'Year 0'!B151</f>
        <v>0</v>
      </c>
      <c r="C151" s="88">
        <f>'Year 1'!B151</f>
        <v>14400</v>
      </c>
      <c r="D151" s="88">
        <f>'Year 2'!B151</f>
        <v>11500</v>
      </c>
      <c r="E151" s="88">
        <f>'Year 3'!B151</f>
        <v>12500</v>
      </c>
      <c r="F151" s="88">
        <f>'Year 4'!B151</f>
        <v>13500</v>
      </c>
      <c r="G151" s="88">
        <f>'Year 5'!B151</f>
        <v>14500</v>
      </c>
      <c r="H151" s="4"/>
      <c r="I151" s="4"/>
      <c r="J151" s="4"/>
      <c r="K151" s="4"/>
      <c r="L151" s="4"/>
      <c r="M151" s="4"/>
      <c r="N151" s="4"/>
      <c r="O151" s="4"/>
      <c r="P151" s="4"/>
      <c r="Q151" s="4"/>
      <c r="R151" s="4"/>
      <c r="S151" s="4"/>
      <c r="T151" s="4"/>
      <c r="U151" s="4"/>
      <c r="V151" s="4"/>
      <c r="W151" s="4"/>
      <c r="X151" s="4"/>
      <c r="Y151" s="4"/>
      <c r="Z151" s="4"/>
    </row>
    <row r="152" spans="1:26">
      <c r="A152" s="87" t="s">
        <v>232</v>
      </c>
      <c r="B152" s="88">
        <f>'Year 0'!B152</f>
        <v>0</v>
      </c>
      <c r="C152" s="88">
        <f>'Year 1'!B152</f>
        <v>1200</v>
      </c>
      <c r="D152" s="88">
        <f>'Year 2'!B152</f>
        <v>1250</v>
      </c>
      <c r="E152" s="88">
        <f>'Year 3'!B152</f>
        <v>1350</v>
      </c>
      <c r="F152" s="88">
        <f>'Year 4'!B152</f>
        <v>1450</v>
      </c>
      <c r="G152" s="88">
        <f>'Year 5'!B152</f>
        <v>1500</v>
      </c>
      <c r="H152" s="4"/>
      <c r="I152" s="4"/>
      <c r="J152" s="4"/>
      <c r="K152" s="4"/>
      <c r="L152" s="4"/>
      <c r="M152" s="4"/>
      <c r="N152" s="4"/>
      <c r="O152" s="4"/>
      <c r="P152" s="4"/>
      <c r="Q152" s="4"/>
      <c r="R152" s="4"/>
      <c r="S152" s="4"/>
      <c r="T152" s="4"/>
      <c r="U152" s="4"/>
      <c r="V152" s="4"/>
      <c r="W152" s="4"/>
      <c r="X152" s="4"/>
      <c r="Y152" s="4"/>
      <c r="Z152" s="4"/>
    </row>
    <row r="153" spans="1:26">
      <c r="A153" s="87" t="s">
        <v>233</v>
      </c>
      <c r="B153" s="88">
        <f>'Year 0'!B153</f>
        <v>0</v>
      </c>
      <c r="C153" s="88">
        <f>'Year 1'!B153</f>
        <v>15000</v>
      </c>
      <c r="D153" s="88">
        <f>'Year 2'!B153</f>
        <v>15000</v>
      </c>
      <c r="E153" s="88">
        <f>'Year 3'!B153</f>
        <v>18000</v>
      </c>
      <c r="F153" s="88">
        <f>'Year 4'!B153</f>
        <v>21000</v>
      </c>
      <c r="G153" s="88">
        <f>'Year 5'!B153</f>
        <v>23000</v>
      </c>
      <c r="H153" s="4"/>
      <c r="I153" s="4"/>
      <c r="J153" s="4"/>
      <c r="K153" s="4"/>
      <c r="L153" s="4"/>
      <c r="M153" s="4"/>
      <c r="N153" s="4"/>
      <c r="O153" s="4"/>
      <c r="P153" s="4"/>
      <c r="Q153" s="4"/>
      <c r="R153" s="4"/>
      <c r="S153" s="4"/>
      <c r="T153" s="4"/>
      <c r="U153" s="4"/>
      <c r="V153" s="4"/>
      <c r="W153" s="4"/>
      <c r="X153" s="4"/>
      <c r="Y153" s="4"/>
      <c r="Z153" s="4"/>
    </row>
    <row r="154" spans="1:26">
      <c r="A154" s="87" t="s">
        <v>234</v>
      </c>
      <c r="B154" s="88">
        <f>'Year 0'!B154</f>
        <v>0</v>
      </c>
      <c r="C154" s="88">
        <f>'Year 1'!B154</f>
        <v>15000</v>
      </c>
      <c r="D154" s="88">
        <f>'Year 2'!B154</f>
        <v>15000</v>
      </c>
      <c r="E154" s="88">
        <f>'Year 3'!B154</f>
        <v>15000</v>
      </c>
      <c r="F154" s="88">
        <f>'Year 4'!B154</f>
        <v>15000</v>
      </c>
      <c r="G154" s="88">
        <f>'Year 5'!B154</f>
        <v>15000</v>
      </c>
      <c r="H154" s="4"/>
      <c r="I154" s="4"/>
      <c r="J154" s="4"/>
      <c r="K154" s="4"/>
      <c r="L154" s="4"/>
      <c r="M154" s="4"/>
      <c r="N154" s="4"/>
      <c r="O154" s="4"/>
      <c r="P154" s="4"/>
      <c r="Q154" s="4"/>
      <c r="R154" s="4"/>
      <c r="S154" s="4"/>
      <c r="T154" s="4"/>
      <c r="U154" s="4"/>
      <c r="V154" s="4"/>
      <c r="W154" s="4"/>
      <c r="X154" s="4"/>
      <c r="Y154" s="4"/>
      <c r="Z154" s="4"/>
    </row>
    <row r="155" spans="1:26">
      <c r="A155" s="87" t="s">
        <v>235</v>
      </c>
      <c r="B155" s="88">
        <f>'Year 0'!B155</f>
        <v>0</v>
      </c>
      <c r="C155" s="88">
        <f>'Year 1'!B155</f>
        <v>3000</v>
      </c>
      <c r="D155" s="88">
        <f>'Year 2'!B155</f>
        <v>4000</v>
      </c>
      <c r="E155" s="88">
        <f>'Year 3'!B155</f>
        <v>5000</v>
      </c>
      <c r="F155" s="88">
        <f>'Year 4'!B155</f>
        <v>6000</v>
      </c>
      <c r="G155" s="88">
        <f>'Year 5'!B155</f>
        <v>6500</v>
      </c>
      <c r="H155" s="4"/>
      <c r="I155" s="4"/>
      <c r="J155" s="4"/>
      <c r="K155" s="4"/>
      <c r="L155" s="4"/>
      <c r="M155" s="4"/>
      <c r="N155" s="4"/>
      <c r="O155" s="4"/>
      <c r="P155" s="4"/>
      <c r="Q155" s="4"/>
      <c r="R155" s="4"/>
      <c r="S155" s="4"/>
      <c r="T155" s="4"/>
      <c r="U155" s="4"/>
      <c r="V155" s="4"/>
      <c r="W155" s="4"/>
      <c r="X155" s="4"/>
      <c r="Y155" s="4"/>
      <c r="Z155" s="4"/>
    </row>
    <row r="156" spans="1:26">
      <c r="A156" s="87" t="s">
        <v>236</v>
      </c>
      <c r="B156" s="88">
        <f>'Year 0'!B156</f>
        <v>0</v>
      </c>
      <c r="C156" s="88">
        <f>'Year 1'!B156</f>
        <v>10000</v>
      </c>
      <c r="D156" s="88">
        <f>'Year 2'!B156</f>
        <v>1100</v>
      </c>
      <c r="E156" s="88">
        <f>'Year 3'!B156</f>
        <v>1100</v>
      </c>
      <c r="F156" s="88">
        <f>'Year 4'!B156</f>
        <v>1100</v>
      </c>
      <c r="G156" s="88">
        <f>'Year 5'!B156</f>
        <v>1100</v>
      </c>
      <c r="H156" s="4"/>
      <c r="I156" s="4"/>
      <c r="J156" s="4"/>
      <c r="K156" s="4"/>
      <c r="L156" s="4"/>
      <c r="M156" s="4"/>
      <c r="N156" s="4"/>
      <c r="O156" s="4"/>
      <c r="P156" s="4"/>
      <c r="Q156" s="4"/>
      <c r="R156" s="4"/>
      <c r="S156" s="4"/>
      <c r="T156" s="4"/>
      <c r="U156" s="4"/>
      <c r="V156" s="4"/>
      <c r="W156" s="4"/>
      <c r="X156" s="4"/>
      <c r="Y156" s="4"/>
      <c r="Z156" s="4"/>
    </row>
    <row r="157" spans="1:26">
      <c r="A157" s="87" t="s">
        <v>237</v>
      </c>
      <c r="B157" s="88">
        <f>'Year 0'!B157</f>
        <v>0</v>
      </c>
      <c r="C157" s="88">
        <f>'Year 1'!B157</f>
        <v>10000</v>
      </c>
      <c r="D157" s="88">
        <f>'Year 2'!B157</f>
        <v>10000</v>
      </c>
      <c r="E157" s="88">
        <f>'Year 3'!B157</f>
        <v>10000</v>
      </c>
      <c r="F157" s="88">
        <f>'Year 4'!B157</f>
        <v>10000</v>
      </c>
      <c r="G157" s="88">
        <f>'Year 5'!B157</f>
        <v>10000</v>
      </c>
      <c r="H157" s="4"/>
      <c r="I157" s="4"/>
      <c r="J157" s="4"/>
      <c r="K157" s="4"/>
      <c r="L157" s="4"/>
      <c r="M157" s="4"/>
      <c r="N157" s="4"/>
      <c r="O157" s="4"/>
      <c r="P157" s="4"/>
      <c r="Q157" s="4"/>
      <c r="R157" s="4"/>
      <c r="S157" s="4"/>
      <c r="T157" s="4"/>
      <c r="U157" s="4"/>
      <c r="V157" s="4"/>
      <c r="W157" s="4"/>
      <c r="X157" s="4"/>
      <c r="Y157" s="4"/>
      <c r="Z157" s="4"/>
    </row>
    <row r="158" spans="1:26">
      <c r="A158" s="87" t="str">
        <f>Assumptions!A162</f>
        <v>Oasis HR Services</v>
      </c>
      <c r="B158" s="88">
        <f>'Year 0'!B158</f>
        <v>0</v>
      </c>
      <c r="C158" s="88">
        <f>'Year 1'!B158</f>
        <v>37000</v>
      </c>
      <c r="D158" s="88">
        <f>'Year 2'!B158</f>
        <v>44000</v>
      </c>
      <c r="E158" s="88">
        <f>'Year 3'!B158</f>
        <v>54000</v>
      </c>
      <c r="F158" s="88">
        <f>'Year 4'!B158</f>
        <v>57000</v>
      </c>
      <c r="G158" s="88">
        <f>'Year 5'!B158</f>
        <v>68000</v>
      </c>
      <c r="H158" s="4"/>
      <c r="I158" s="4"/>
      <c r="J158" s="4"/>
      <c r="K158" s="4"/>
      <c r="L158" s="4"/>
      <c r="M158" s="4"/>
      <c r="N158" s="4"/>
      <c r="O158" s="4"/>
      <c r="P158" s="4"/>
      <c r="Q158" s="4"/>
      <c r="R158" s="4"/>
      <c r="S158" s="4"/>
      <c r="T158" s="4"/>
      <c r="U158" s="4"/>
      <c r="V158" s="4"/>
      <c r="W158" s="4"/>
      <c r="X158" s="4"/>
      <c r="Y158" s="4"/>
      <c r="Z158" s="4"/>
    </row>
    <row r="159" spans="1:26">
      <c r="A159" s="87" t="str">
        <f>Assumptions!A163</f>
        <v>Audit Fees</v>
      </c>
      <c r="B159" s="88">
        <f>'Year 0'!B159</f>
        <v>0</v>
      </c>
      <c r="C159" s="88">
        <f>'Year 1'!B159</f>
        <v>12500</v>
      </c>
      <c r="D159" s="88">
        <f>'Year 2'!B159</f>
        <v>12500</v>
      </c>
      <c r="E159" s="88">
        <f>'Year 3'!B159</f>
        <v>12500</v>
      </c>
      <c r="F159" s="88">
        <f>'Year 4'!B159</f>
        <v>12500</v>
      </c>
      <c r="G159" s="88">
        <f>'Year 5'!B159</f>
        <v>12500</v>
      </c>
      <c r="H159" s="4"/>
      <c r="I159" s="4"/>
      <c r="J159" s="4"/>
      <c r="K159" s="4"/>
      <c r="L159" s="4"/>
      <c r="M159" s="4"/>
      <c r="N159" s="4"/>
      <c r="O159" s="4"/>
      <c r="P159" s="4"/>
      <c r="Q159" s="4"/>
      <c r="R159" s="4"/>
      <c r="S159" s="4"/>
      <c r="T159" s="4"/>
      <c r="U159" s="4"/>
      <c r="V159" s="4"/>
      <c r="W159" s="4"/>
      <c r="X159" s="4"/>
      <c r="Y159" s="4"/>
      <c r="Z159" s="4"/>
    </row>
    <row r="160" spans="1:26">
      <c r="A160" s="87" t="str">
        <f>Assumptions!A164</f>
        <v>Accounting Fees</v>
      </c>
      <c r="B160" s="88">
        <f>'Year 0'!B160</f>
        <v>0</v>
      </c>
      <c r="C160" s="88">
        <f>'Year 1'!B160</f>
        <v>12000</v>
      </c>
      <c r="D160" s="88">
        <f>'Year 2'!B160</f>
        <v>18000</v>
      </c>
      <c r="E160" s="88">
        <f>'Year 3'!B160</f>
        <v>21000</v>
      </c>
      <c r="F160" s="88">
        <f>'Year 4'!B160</f>
        <v>25000</v>
      </c>
      <c r="G160" s="88">
        <f>'Year 5'!B160</f>
        <v>28000</v>
      </c>
      <c r="H160" s="4"/>
      <c r="I160" s="4"/>
      <c r="J160" s="4"/>
      <c r="K160" s="4"/>
      <c r="L160" s="4"/>
      <c r="M160" s="4"/>
      <c r="N160" s="4"/>
      <c r="O160" s="4"/>
      <c r="P160" s="4"/>
      <c r="Q160" s="4"/>
      <c r="R160" s="4"/>
      <c r="S160" s="4"/>
      <c r="T160" s="4"/>
      <c r="U160" s="4"/>
      <c r="V160" s="4"/>
      <c r="W160" s="4"/>
      <c r="X160" s="4"/>
      <c r="Y160" s="4"/>
      <c r="Z160" s="4"/>
    </row>
    <row r="161" spans="1:26">
      <c r="A161" s="87" t="str">
        <f>Assumptions!A165</f>
        <v>Other</v>
      </c>
      <c r="B161" s="88">
        <f>'Year 0'!B161</f>
        <v>0</v>
      </c>
      <c r="C161" s="88">
        <f>'Year 1'!B161</f>
        <v>0</v>
      </c>
      <c r="D161" s="88">
        <f>'Year 2'!B161</f>
        <v>0</v>
      </c>
      <c r="E161" s="88">
        <f>'Year 3'!B161</f>
        <v>0</v>
      </c>
      <c r="F161" s="88">
        <f>'Year 4'!B161</f>
        <v>0</v>
      </c>
      <c r="G161" s="88">
        <f>'Year 5'!B161</f>
        <v>0</v>
      </c>
      <c r="H161" s="4"/>
      <c r="I161" s="4"/>
      <c r="J161" s="4"/>
      <c r="K161" s="4"/>
      <c r="L161" s="4"/>
      <c r="M161" s="4"/>
      <c r="N161" s="4"/>
      <c r="O161" s="4"/>
      <c r="P161" s="4"/>
      <c r="Q161" s="4"/>
      <c r="R161" s="4"/>
      <c r="S161" s="4"/>
      <c r="T161" s="4"/>
      <c r="U161" s="4"/>
      <c r="V161" s="4"/>
      <c r="W161" s="4"/>
      <c r="X161" s="4"/>
      <c r="Y161" s="4"/>
      <c r="Z161" s="4"/>
    </row>
    <row r="162" spans="1:26">
      <c r="A162" s="87" t="str">
        <f>Assumptions!A166</f>
        <v>IT Services</v>
      </c>
      <c r="B162" s="88">
        <f>'Year 0'!B162</f>
        <v>0</v>
      </c>
      <c r="C162" s="88">
        <f>'Year 1'!B162</f>
        <v>20000</v>
      </c>
      <c r="D162" s="88">
        <f>'Year 2'!B162</f>
        <v>30000</v>
      </c>
      <c r="E162" s="88">
        <f>'Year 3'!B162</f>
        <v>30000</v>
      </c>
      <c r="F162" s="88">
        <f>'Year 4'!B162</f>
        <v>30000</v>
      </c>
      <c r="G162" s="88">
        <f>'Year 5'!B162</f>
        <v>30000</v>
      </c>
      <c r="H162" s="4"/>
      <c r="I162" s="4"/>
      <c r="J162" s="4"/>
      <c r="K162" s="4"/>
      <c r="L162" s="4"/>
      <c r="M162" s="4"/>
      <c r="N162" s="4"/>
      <c r="O162" s="4"/>
      <c r="P162" s="4"/>
      <c r="Q162" s="4"/>
      <c r="R162" s="4"/>
      <c r="S162" s="4"/>
      <c r="T162" s="4"/>
      <c r="U162" s="4"/>
      <c r="V162" s="4"/>
      <c r="W162" s="4"/>
      <c r="X162" s="4"/>
      <c r="Y162" s="4"/>
      <c r="Z162" s="4"/>
    </row>
    <row r="163" spans="1:26">
      <c r="A163" s="87" t="str">
        <f>Assumptions!A167</f>
        <v>Special Education Contracted Services</v>
      </c>
      <c r="B163" s="88">
        <f>'Year 0'!B163</f>
        <v>0</v>
      </c>
      <c r="C163" s="88">
        <f>'Year 1'!B163</f>
        <v>100000</v>
      </c>
      <c r="D163" s="88">
        <f>'Year 2'!B163</f>
        <v>150000</v>
      </c>
      <c r="E163" s="88">
        <f>'Year 3'!B163</f>
        <v>200000</v>
      </c>
      <c r="F163" s="88">
        <f>'Year 4'!B163</f>
        <v>215000</v>
      </c>
      <c r="G163" s="88">
        <f>'Year 5'!B163</f>
        <v>225000</v>
      </c>
      <c r="H163" s="4"/>
      <c r="I163" s="4"/>
      <c r="J163" s="4"/>
      <c r="K163" s="4"/>
      <c r="L163" s="4"/>
      <c r="M163" s="4"/>
      <c r="N163" s="4"/>
      <c r="O163" s="4"/>
      <c r="P163" s="4"/>
      <c r="Q163" s="4"/>
      <c r="R163" s="4"/>
      <c r="S163" s="4"/>
      <c r="T163" s="4"/>
      <c r="U163" s="4"/>
      <c r="V163" s="4"/>
      <c r="W163" s="4"/>
      <c r="X163" s="4"/>
      <c r="Y163" s="4"/>
      <c r="Z163" s="4"/>
    </row>
    <row r="164" spans="1:26">
      <c r="A164" s="87" t="str">
        <f>Assumptions!A168</f>
        <v>Other</v>
      </c>
      <c r="B164" s="88">
        <f>'Year 0'!B164</f>
        <v>0</v>
      </c>
      <c r="C164" s="88">
        <f>'Year 1'!B164</f>
        <v>0</v>
      </c>
      <c r="D164" s="88">
        <f>'Year 2'!B164</f>
        <v>0</v>
      </c>
      <c r="E164" s="88">
        <f>'Year 3'!B164</f>
        <v>0</v>
      </c>
      <c r="F164" s="88">
        <f>'Year 4'!B164</f>
        <v>0</v>
      </c>
      <c r="G164" s="88">
        <f>'Year 5'!B164</f>
        <v>0</v>
      </c>
      <c r="H164" s="4"/>
      <c r="I164" s="4"/>
      <c r="J164" s="4"/>
      <c r="K164" s="4"/>
      <c r="L164" s="4"/>
      <c r="M164" s="4"/>
      <c r="N164" s="4"/>
      <c r="O164" s="4"/>
      <c r="P164" s="4"/>
      <c r="Q164" s="4"/>
      <c r="R164" s="4"/>
      <c r="S164" s="4"/>
      <c r="T164" s="4"/>
      <c r="U164" s="4"/>
      <c r="V164" s="4"/>
      <c r="W164" s="4"/>
      <c r="X164" s="4"/>
      <c r="Y164" s="4"/>
      <c r="Z164" s="4"/>
    </row>
    <row r="165" spans="1:26">
      <c r="A165" s="87" t="str">
        <f>Assumptions!A169</f>
        <v>Other</v>
      </c>
      <c r="B165" s="89">
        <f>'Year 0'!B165</f>
        <v>0</v>
      </c>
      <c r="C165" s="89">
        <f>'Year 1'!B165</f>
        <v>0</v>
      </c>
      <c r="D165" s="89">
        <f>'Year 2'!B165</f>
        <v>0</v>
      </c>
      <c r="E165" s="89">
        <f>'Year 3'!B165</f>
        <v>0</v>
      </c>
      <c r="F165" s="89">
        <f>'Year 4'!B165</f>
        <v>0</v>
      </c>
      <c r="G165" s="89">
        <f>'Year 5'!B165</f>
        <v>0</v>
      </c>
      <c r="H165" s="4"/>
      <c r="I165" s="4"/>
      <c r="J165" s="4"/>
      <c r="K165" s="4"/>
      <c r="L165" s="4"/>
      <c r="M165" s="4"/>
      <c r="N165" s="4"/>
      <c r="O165" s="4"/>
      <c r="P165" s="4"/>
      <c r="Q165" s="4"/>
      <c r="R165" s="4"/>
      <c r="S165" s="4"/>
      <c r="T165" s="4"/>
      <c r="U165" s="4"/>
      <c r="V165" s="4"/>
      <c r="W165" s="4"/>
      <c r="X165" s="4"/>
      <c r="Y165" s="4"/>
      <c r="Z165" s="4"/>
    </row>
    <row r="166" spans="1:26">
      <c r="A166" s="85" t="s">
        <v>238</v>
      </c>
      <c r="B166" s="90">
        <f t="shared" ref="B166:G166" si="19">SUM(B138:B165)</f>
        <v>0</v>
      </c>
      <c r="C166" s="90">
        <f t="shared" si="19"/>
        <v>1774100</v>
      </c>
      <c r="D166" s="90">
        <f t="shared" si="19"/>
        <v>2260350</v>
      </c>
      <c r="E166" s="90">
        <f t="shared" si="19"/>
        <v>2602988</v>
      </c>
      <c r="F166" s="90">
        <f t="shared" si="19"/>
        <v>2634869</v>
      </c>
      <c r="G166" s="90">
        <f t="shared" si="19"/>
        <v>2669501</v>
      </c>
      <c r="H166" s="4"/>
      <c r="I166" s="4"/>
      <c r="J166" s="4"/>
      <c r="K166" s="4"/>
      <c r="L166" s="4"/>
      <c r="M166" s="4"/>
      <c r="N166" s="4"/>
      <c r="O166" s="4"/>
      <c r="P166" s="4"/>
      <c r="Q166" s="4"/>
      <c r="R166" s="4"/>
      <c r="S166" s="4"/>
      <c r="T166" s="4"/>
      <c r="U166" s="4"/>
      <c r="V166" s="4"/>
      <c r="W166" s="4"/>
      <c r="X166" s="4"/>
      <c r="Y166" s="4"/>
      <c r="Z166" s="4"/>
    </row>
    <row r="167" spans="1:26">
      <c r="A167" s="85"/>
      <c r="B167" s="90"/>
      <c r="C167" s="88"/>
      <c r="D167" s="88"/>
      <c r="E167" s="88"/>
      <c r="F167" s="88"/>
      <c r="G167" s="88"/>
      <c r="H167" s="4"/>
      <c r="I167" s="4"/>
      <c r="J167" s="4"/>
      <c r="K167" s="4"/>
      <c r="L167" s="4"/>
      <c r="M167" s="4"/>
      <c r="N167" s="4"/>
      <c r="O167" s="4"/>
      <c r="P167" s="4"/>
      <c r="Q167" s="4"/>
      <c r="R167" s="4"/>
      <c r="S167" s="4"/>
      <c r="T167" s="4"/>
      <c r="U167" s="4"/>
      <c r="V167" s="4"/>
      <c r="W167" s="4"/>
      <c r="X167" s="4"/>
      <c r="Y167" s="4"/>
      <c r="Z167" s="4"/>
    </row>
    <row r="168" spans="1:26">
      <c r="A168" s="85" t="s">
        <v>239</v>
      </c>
      <c r="B168" s="88"/>
      <c r="C168" s="88"/>
      <c r="D168" s="88"/>
      <c r="E168" s="88"/>
      <c r="F168" s="88"/>
      <c r="G168" s="88"/>
      <c r="H168" s="4"/>
      <c r="I168" s="4"/>
      <c r="J168" s="4"/>
      <c r="K168" s="4"/>
      <c r="L168" s="4"/>
      <c r="M168" s="4"/>
      <c r="N168" s="4"/>
      <c r="O168" s="4"/>
      <c r="P168" s="4"/>
      <c r="Q168" s="4"/>
      <c r="R168" s="4"/>
      <c r="S168" s="4"/>
      <c r="T168" s="4"/>
      <c r="U168" s="4"/>
      <c r="V168" s="4"/>
      <c r="W168" s="4"/>
      <c r="X168" s="4"/>
      <c r="Y168" s="4"/>
      <c r="Z168" s="4"/>
    </row>
    <row r="169" spans="1:26">
      <c r="A169" s="87" t="s">
        <v>240</v>
      </c>
      <c r="B169" s="88">
        <f>'Year 0'!B169</f>
        <v>0</v>
      </c>
      <c r="C169" s="88">
        <f>'Year 1'!B169</f>
        <v>55000</v>
      </c>
      <c r="D169" s="88">
        <f>'Year 2'!B169</f>
        <v>65000</v>
      </c>
      <c r="E169" s="88">
        <f>'Year 3'!B169</f>
        <v>80000</v>
      </c>
      <c r="F169" s="88">
        <f>'Year 4'!B169</f>
        <v>80000</v>
      </c>
      <c r="G169" s="88">
        <f>'Year 5'!B169</f>
        <v>80000</v>
      </c>
      <c r="H169" s="4"/>
      <c r="I169" s="4"/>
      <c r="J169" s="4"/>
      <c r="K169" s="4"/>
      <c r="L169" s="4"/>
      <c r="M169" s="4"/>
      <c r="N169" s="4"/>
      <c r="O169" s="4"/>
      <c r="P169" s="4"/>
      <c r="Q169" s="4"/>
      <c r="R169" s="4"/>
      <c r="S169" s="4"/>
      <c r="T169" s="4"/>
      <c r="U169" s="4"/>
      <c r="V169" s="4"/>
      <c r="W169" s="4"/>
      <c r="X169" s="4"/>
      <c r="Y169" s="4"/>
      <c r="Z169" s="4"/>
    </row>
    <row r="170" spans="1:26">
      <c r="A170" s="87" t="s">
        <v>241</v>
      </c>
      <c r="B170" s="88">
        <f>'Year 0'!B170</f>
        <v>0</v>
      </c>
      <c r="C170" s="88">
        <f>'Year 1'!B170</f>
        <v>15000</v>
      </c>
      <c r="D170" s="88">
        <f>'Year 2'!B170</f>
        <v>20000</v>
      </c>
      <c r="E170" s="88">
        <f>'Year 3'!B170</f>
        <v>26000</v>
      </c>
      <c r="F170" s="88">
        <f>'Year 4'!B170</f>
        <v>28000</v>
      </c>
      <c r="G170" s="88">
        <f>'Year 5'!B170</f>
        <v>30000</v>
      </c>
      <c r="H170" s="4"/>
      <c r="I170" s="4"/>
      <c r="J170" s="4"/>
      <c r="K170" s="4"/>
      <c r="L170" s="4"/>
      <c r="M170" s="4"/>
      <c r="N170" s="4"/>
      <c r="O170" s="4"/>
      <c r="P170" s="4"/>
      <c r="Q170" s="4"/>
      <c r="R170" s="4"/>
      <c r="S170" s="4"/>
      <c r="T170" s="4"/>
      <c r="U170" s="4"/>
      <c r="V170" s="4"/>
      <c r="W170" s="4"/>
      <c r="X170" s="4"/>
      <c r="Y170" s="4"/>
      <c r="Z170" s="4"/>
    </row>
    <row r="171" spans="1:26">
      <c r="A171" s="87" t="s">
        <v>242</v>
      </c>
      <c r="B171" s="88">
        <f>'Year 0'!B171</f>
        <v>0</v>
      </c>
      <c r="C171" s="88">
        <f>'Year 1'!B171</f>
        <v>15000</v>
      </c>
      <c r="D171" s="88">
        <f>'Year 2'!B171</f>
        <v>40000</v>
      </c>
      <c r="E171" s="88">
        <f>'Year 3'!B171</f>
        <v>50000</v>
      </c>
      <c r="F171" s="88">
        <f>'Year 4'!B171</f>
        <v>50000</v>
      </c>
      <c r="G171" s="88">
        <f>'Year 5'!B171</f>
        <v>50000</v>
      </c>
      <c r="H171" s="4"/>
      <c r="I171" s="4"/>
      <c r="J171" s="4"/>
      <c r="K171" s="4"/>
      <c r="L171" s="4"/>
      <c r="M171" s="4"/>
      <c r="N171" s="4"/>
      <c r="O171" s="4"/>
      <c r="P171" s="4"/>
      <c r="Q171" s="4"/>
      <c r="R171" s="4"/>
      <c r="S171" s="4"/>
      <c r="T171" s="4"/>
      <c r="U171" s="4"/>
      <c r="V171" s="4"/>
      <c r="W171" s="4"/>
      <c r="X171" s="4"/>
      <c r="Y171" s="4"/>
      <c r="Z171" s="4"/>
    </row>
    <row r="172" spans="1:26">
      <c r="A172" s="87" t="s">
        <v>243</v>
      </c>
      <c r="B172" s="88">
        <f>'Year 0'!B172</f>
        <v>0</v>
      </c>
      <c r="C172" s="88">
        <f>'Year 1'!B172</f>
        <v>7500</v>
      </c>
      <c r="D172" s="88">
        <f>'Year 2'!B172</f>
        <v>8500</v>
      </c>
      <c r="E172" s="88">
        <f>'Year 3'!B172</f>
        <v>10500</v>
      </c>
      <c r="F172" s="88">
        <f>'Year 4'!B172</f>
        <v>11000</v>
      </c>
      <c r="G172" s="88">
        <f>'Year 5'!B172</f>
        <v>11500</v>
      </c>
      <c r="H172" s="4"/>
      <c r="I172" s="4"/>
      <c r="J172" s="4"/>
      <c r="K172" s="4"/>
      <c r="L172" s="4"/>
      <c r="M172" s="4"/>
      <c r="N172" s="4"/>
      <c r="O172" s="4"/>
      <c r="P172" s="4"/>
      <c r="Q172" s="4"/>
      <c r="R172" s="4"/>
      <c r="S172" s="4"/>
      <c r="T172" s="4"/>
      <c r="U172" s="4"/>
      <c r="V172" s="4"/>
      <c r="W172" s="4"/>
      <c r="X172" s="4"/>
      <c r="Y172" s="4"/>
      <c r="Z172" s="4"/>
    </row>
    <row r="173" spans="1:26">
      <c r="A173" s="87" t="s">
        <v>244</v>
      </c>
      <c r="B173" s="89">
        <f>'Year 0'!B173</f>
        <v>0</v>
      </c>
      <c r="C173" s="89">
        <f>'Year 1'!B173</f>
        <v>0</v>
      </c>
      <c r="D173" s="89">
        <f>'Year 2'!B173</f>
        <v>0</v>
      </c>
      <c r="E173" s="89">
        <f>'Year 3'!B173</f>
        <v>0</v>
      </c>
      <c r="F173" s="89">
        <f>'Year 4'!B173</f>
        <v>0</v>
      </c>
      <c r="G173" s="89">
        <f>'Year 5'!B173</f>
        <v>0</v>
      </c>
      <c r="H173" s="4"/>
      <c r="I173" s="4"/>
      <c r="J173" s="4"/>
      <c r="K173" s="4"/>
      <c r="L173" s="4"/>
      <c r="M173" s="4"/>
      <c r="N173" s="4"/>
      <c r="O173" s="4"/>
      <c r="P173" s="4"/>
      <c r="Q173" s="4"/>
      <c r="R173" s="4"/>
      <c r="S173" s="4"/>
      <c r="T173" s="4"/>
      <c r="U173" s="4"/>
      <c r="V173" s="4"/>
      <c r="W173" s="4"/>
      <c r="X173" s="4"/>
      <c r="Y173" s="4"/>
      <c r="Z173" s="4"/>
    </row>
    <row r="174" spans="1:26">
      <c r="A174" s="85" t="s">
        <v>245</v>
      </c>
      <c r="B174" s="90">
        <f t="shared" ref="B174:G174" si="20">SUM(B169:B173)</f>
        <v>0</v>
      </c>
      <c r="C174" s="90">
        <f t="shared" si="20"/>
        <v>92500</v>
      </c>
      <c r="D174" s="90">
        <f t="shared" si="20"/>
        <v>133500</v>
      </c>
      <c r="E174" s="90">
        <f t="shared" si="20"/>
        <v>166500</v>
      </c>
      <c r="F174" s="90">
        <f t="shared" si="20"/>
        <v>169000</v>
      </c>
      <c r="G174" s="90">
        <f t="shared" si="20"/>
        <v>171500</v>
      </c>
      <c r="H174" s="4"/>
      <c r="I174" s="4"/>
      <c r="J174" s="4"/>
      <c r="K174" s="4"/>
      <c r="L174" s="4"/>
      <c r="M174" s="4"/>
      <c r="N174" s="4"/>
      <c r="O174" s="4"/>
      <c r="P174" s="4"/>
      <c r="Q174" s="4"/>
      <c r="R174" s="4"/>
      <c r="S174" s="4"/>
      <c r="T174" s="4"/>
      <c r="U174" s="4"/>
      <c r="V174" s="4"/>
      <c r="W174" s="4"/>
      <c r="X174" s="4"/>
      <c r="Y174" s="4"/>
      <c r="Z174" s="4"/>
    </row>
    <row r="175" spans="1:26">
      <c r="A175" s="85"/>
      <c r="B175" s="90"/>
      <c r="C175" s="88"/>
      <c r="D175" s="88"/>
      <c r="E175" s="88"/>
      <c r="F175" s="88"/>
      <c r="G175" s="88"/>
      <c r="H175" s="4"/>
      <c r="I175" s="4"/>
      <c r="J175" s="4"/>
      <c r="K175" s="4"/>
      <c r="L175" s="4"/>
      <c r="M175" s="4"/>
      <c r="N175" s="4"/>
      <c r="O175" s="4"/>
      <c r="P175" s="4"/>
      <c r="Q175" s="4"/>
      <c r="R175" s="4"/>
      <c r="S175" s="4"/>
      <c r="T175" s="4"/>
      <c r="U175" s="4"/>
      <c r="V175" s="4"/>
      <c r="W175" s="4"/>
      <c r="X175" s="4"/>
      <c r="Y175" s="4"/>
      <c r="Z175" s="4"/>
    </row>
    <row r="176" spans="1:26">
      <c r="A176" s="85" t="s">
        <v>246</v>
      </c>
      <c r="B176" s="90"/>
      <c r="C176" s="88"/>
      <c r="D176" s="88"/>
      <c r="E176" s="88"/>
      <c r="F176" s="88"/>
      <c r="G176" s="88"/>
      <c r="H176" s="4"/>
      <c r="I176" s="4"/>
      <c r="J176" s="4"/>
      <c r="K176" s="4"/>
      <c r="L176" s="4"/>
      <c r="M176" s="4"/>
      <c r="N176" s="4"/>
      <c r="O176" s="4"/>
      <c r="P176" s="4"/>
      <c r="Q176" s="4"/>
      <c r="R176" s="4"/>
      <c r="S176" s="4"/>
      <c r="T176" s="4"/>
      <c r="U176" s="4"/>
      <c r="V176" s="4"/>
      <c r="W176" s="4"/>
      <c r="X176" s="4"/>
      <c r="Y176" s="4"/>
      <c r="Z176" s="4"/>
    </row>
    <row r="177" spans="1:26">
      <c r="A177" s="87" t="s">
        <v>247</v>
      </c>
      <c r="B177" s="88">
        <f>'Year 0'!B177</f>
        <v>0</v>
      </c>
      <c r="C177" s="88">
        <f>'Year 1'!B177</f>
        <v>2500</v>
      </c>
      <c r="D177" s="88">
        <f>'Year 2'!B177</f>
        <v>2500</v>
      </c>
      <c r="E177" s="88">
        <f>'Year 3'!B177</f>
        <v>2500</v>
      </c>
      <c r="F177" s="88">
        <f>'Year 4'!B177</f>
        <v>2500</v>
      </c>
      <c r="G177" s="88">
        <f>'Year 5'!B177</f>
        <v>2500</v>
      </c>
      <c r="H177" s="4"/>
      <c r="I177" s="4"/>
      <c r="J177" s="4"/>
      <c r="K177" s="4"/>
      <c r="L177" s="4"/>
      <c r="M177" s="4"/>
      <c r="N177" s="4"/>
      <c r="O177" s="4"/>
      <c r="P177" s="4"/>
      <c r="Q177" s="4"/>
      <c r="R177" s="4"/>
      <c r="S177" s="4"/>
      <c r="T177" s="4"/>
      <c r="U177" s="4"/>
      <c r="V177" s="4"/>
      <c r="W177" s="4"/>
      <c r="X177" s="4"/>
      <c r="Y177" s="4"/>
      <c r="Z177" s="4"/>
    </row>
    <row r="178" spans="1:26">
      <c r="A178" s="87" t="s">
        <v>248</v>
      </c>
      <c r="B178" s="88">
        <f>'Year 0'!B178</f>
        <v>0</v>
      </c>
      <c r="C178" s="88">
        <f>'Year 1'!B178</f>
        <v>0</v>
      </c>
      <c r="D178" s="88">
        <f>'Year 2'!B178</f>
        <v>0</v>
      </c>
      <c r="E178" s="88">
        <f>'Year 3'!B178</f>
        <v>0</v>
      </c>
      <c r="F178" s="88">
        <f>'Year 4'!B178</f>
        <v>0</v>
      </c>
      <c r="G178" s="88">
        <f>'Year 5'!B178</f>
        <v>0</v>
      </c>
      <c r="H178" s="4"/>
      <c r="I178" s="4"/>
      <c r="J178" s="4"/>
      <c r="K178" s="4"/>
      <c r="L178" s="4"/>
      <c r="M178" s="4"/>
      <c r="N178" s="4"/>
      <c r="O178" s="4"/>
      <c r="P178" s="4"/>
      <c r="Q178" s="4"/>
      <c r="R178" s="4"/>
      <c r="S178" s="4"/>
      <c r="T178" s="4"/>
      <c r="U178" s="4"/>
      <c r="V178" s="4"/>
      <c r="W178" s="4"/>
      <c r="X178" s="4"/>
      <c r="Y178" s="4"/>
      <c r="Z178" s="4"/>
    </row>
    <row r="179" spans="1:26">
      <c r="A179" s="87" t="s">
        <v>249</v>
      </c>
      <c r="B179" s="88">
        <f>'Year 0'!B179</f>
        <v>0</v>
      </c>
      <c r="C179" s="88">
        <f>'Year 1'!B179</f>
        <v>0</v>
      </c>
      <c r="D179" s="88">
        <f>'Year 2'!B179</f>
        <v>0</v>
      </c>
      <c r="E179" s="88">
        <f>'Year 3'!B179</f>
        <v>0</v>
      </c>
      <c r="F179" s="88">
        <f>'Year 4'!B179</f>
        <v>0</v>
      </c>
      <c r="G179" s="88">
        <f>'Year 5'!B179</f>
        <v>0</v>
      </c>
      <c r="H179" s="4"/>
      <c r="I179" s="4"/>
      <c r="J179" s="4"/>
      <c r="K179" s="4"/>
      <c r="L179" s="4"/>
      <c r="M179" s="4"/>
      <c r="N179" s="4"/>
      <c r="O179" s="4"/>
      <c r="P179" s="4"/>
      <c r="Q179" s="4"/>
      <c r="R179" s="4"/>
      <c r="S179" s="4"/>
      <c r="T179" s="4"/>
      <c r="U179" s="4"/>
      <c r="V179" s="4"/>
      <c r="W179" s="4"/>
      <c r="X179" s="4"/>
      <c r="Y179" s="4"/>
      <c r="Z179" s="4"/>
    </row>
    <row r="180" spans="1:26">
      <c r="A180" s="87" t="s">
        <v>250</v>
      </c>
      <c r="B180" s="89">
        <f>'Year 0'!B180</f>
        <v>0</v>
      </c>
      <c r="C180" s="89">
        <f>'Year 1'!B180</f>
        <v>2500</v>
      </c>
      <c r="D180" s="89">
        <f>'Year 2'!B180</f>
        <v>2500</v>
      </c>
      <c r="E180" s="89">
        <f>'Year 3'!B180</f>
        <v>2500</v>
      </c>
      <c r="F180" s="89">
        <f>'Year 4'!B180</f>
        <v>2500</v>
      </c>
      <c r="G180" s="89">
        <f>'Year 5'!B180</f>
        <v>2500</v>
      </c>
      <c r="H180" s="4"/>
      <c r="I180" s="4"/>
      <c r="J180" s="4"/>
      <c r="K180" s="4"/>
      <c r="L180" s="4"/>
      <c r="M180" s="4"/>
      <c r="N180" s="4"/>
      <c r="O180" s="4"/>
      <c r="P180" s="4"/>
      <c r="Q180" s="4"/>
      <c r="R180" s="4"/>
      <c r="S180" s="4"/>
      <c r="T180" s="4"/>
      <c r="U180" s="4"/>
      <c r="V180" s="4"/>
      <c r="W180" s="4"/>
      <c r="X180" s="4"/>
      <c r="Y180" s="4"/>
      <c r="Z180" s="4"/>
    </row>
    <row r="181" spans="1:26">
      <c r="A181" s="85" t="s">
        <v>251</v>
      </c>
      <c r="B181" s="90">
        <f t="shared" ref="B181:G181" si="21">SUM(B177:B180)</f>
        <v>0</v>
      </c>
      <c r="C181" s="90">
        <f t="shared" si="21"/>
        <v>5000</v>
      </c>
      <c r="D181" s="90">
        <f t="shared" si="21"/>
        <v>5000</v>
      </c>
      <c r="E181" s="90">
        <f t="shared" si="21"/>
        <v>5000</v>
      </c>
      <c r="F181" s="90">
        <f t="shared" si="21"/>
        <v>5000</v>
      </c>
      <c r="G181" s="90">
        <f t="shared" si="21"/>
        <v>5000</v>
      </c>
      <c r="H181" s="4"/>
      <c r="I181" s="4"/>
      <c r="J181" s="4"/>
      <c r="K181" s="4"/>
      <c r="L181" s="4"/>
      <c r="M181" s="4"/>
      <c r="N181" s="4"/>
      <c r="O181" s="4"/>
      <c r="P181" s="4"/>
      <c r="Q181" s="4"/>
      <c r="R181" s="4"/>
      <c r="S181" s="4"/>
      <c r="T181" s="4"/>
      <c r="U181" s="4"/>
      <c r="V181" s="4"/>
      <c r="W181" s="4"/>
      <c r="X181" s="4"/>
      <c r="Y181" s="4"/>
      <c r="Z181" s="4"/>
    </row>
    <row r="182" spans="1:26">
      <c r="A182" s="85"/>
      <c r="B182" s="90"/>
      <c r="C182" s="88"/>
      <c r="D182" s="88"/>
      <c r="E182" s="88"/>
      <c r="F182" s="88"/>
      <c r="G182" s="88"/>
      <c r="H182" s="4"/>
      <c r="I182" s="4"/>
      <c r="J182" s="4"/>
      <c r="K182" s="4"/>
      <c r="L182" s="4"/>
      <c r="M182" s="4"/>
      <c r="N182" s="4"/>
      <c r="O182" s="4"/>
      <c r="P182" s="4"/>
      <c r="Q182" s="4"/>
      <c r="R182" s="4"/>
      <c r="S182" s="4"/>
      <c r="T182" s="4"/>
      <c r="U182" s="4"/>
      <c r="V182" s="4"/>
      <c r="W182" s="4"/>
      <c r="X182" s="4"/>
      <c r="Y182" s="4"/>
      <c r="Z182" s="4"/>
    </row>
    <row r="183" spans="1:26">
      <c r="A183" s="85" t="s">
        <v>252</v>
      </c>
      <c r="B183" s="90"/>
      <c r="C183" s="88"/>
      <c r="D183" s="88"/>
      <c r="E183" s="88"/>
      <c r="F183" s="88"/>
      <c r="G183" s="88"/>
      <c r="H183" s="4"/>
      <c r="I183" s="4"/>
      <c r="J183" s="4"/>
      <c r="K183" s="4"/>
      <c r="L183" s="4"/>
      <c r="M183" s="4"/>
      <c r="N183" s="4"/>
      <c r="O183" s="4"/>
      <c r="P183" s="4"/>
      <c r="Q183" s="4"/>
      <c r="R183" s="4"/>
      <c r="S183" s="4"/>
      <c r="T183" s="4"/>
      <c r="U183" s="4"/>
      <c r="V183" s="4"/>
      <c r="W183" s="4"/>
      <c r="X183" s="4"/>
      <c r="Y183" s="4"/>
      <c r="Z183" s="4"/>
    </row>
    <row r="184" spans="1:26">
      <c r="A184" s="87" t="s">
        <v>253</v>
      </c>
      <c r="B184" s="88">
        <f>'Year 0'!B184</f>
        <v>0</v>
      </c>
      <c r="C184" s="88">
        <f>'Year 1'!B184</f>
        <v>3499.2</v>
      </c>
      <c r="D184" s="88">
        <f>'Year 2'!B184</f>
        <v>5310.7650000000003</v>
      </c>
      <c r="E184" s="88">
        <f>'Year 3'!B184</f>
        <v>6943.7250000000004</v>
      </c>
      <c r="F184" s="88">
        <f>'Year 4'!B184</f>
        <v>7388.415</v>
      </c>
      <c r="G184" s="88">
        <f>'Year 5'!B184</f>
        <v>7782.0749999999998</v>
      </c>
      <c r="H184" s="4"/>
      <c r="I184" s="4"/>
      <c r="J184" s="4"/>
      <c r="K184" s="4"/>
      <c r="L184" s="4"/>
      <c r="M184" s="4"/>
      <c r="N184" s="4"/>
      <c r="O184" s="4"/>
      <c r="P184" s="4"/>
      <c r="Q184" s="4"/>
      <c r="R184" s="4"/>
      <c r="S184" s="4"/>
      <c r="T184" s="4"/>
      <c r="U184" s="4"/>
      <c r="V184" s="4"/>
      <c r="W184" s="4"/>
      <c r="X184" s="4"/>
      <c r="Y184" s="4"/>
      <c r="Z184" s="4"/>
    </row>
    <row r="185" spans="1:26">
      <c r="A185" s="87" t="s">
        <v>254</v>
      </c>
      <c r="B185" s="89">
        <f>'Year 0'!B185</f>
        <v>0</v>
      </c>
      <c r="C185" s="89">
        <f>'Year 1'!B185</f>
        <v>0</v>
      </c>
      <c r="D185" s="89">
        <f>'Year 2'!B185</f>
        <v>0</v>
      </c>
      <c r="E185" s="89">
        <f>'Year 3'!B185</f>
        <v>0</v>
      </c>
      <c r="F185" s="89">
        <f>'Year 4'!B185</f>
        <v>0</v>
      </c>
      <c r="G185" s="89">
        <f>'Year 5'!B185</f>
        <v>0</v>
      </c>
      <c r="H185" s="4"/>
      <c r="I185" s="4"/>
      <c r="J185" s="4"/>
      <c r="K185" s="4"/>
      <c r="L185" s="4"/>
      <c r="M185" s="4"/>
      <c r="N185" s="4"/>
      <c r="O185" s="4"/>
      <c r="P185" s="4"/>
      <c r="Q185" s="4"/>
      <c r="R185" s="4"/>
      <c r="S185" s="4"/>
      <c r="T185" s="4"/>
      <c r="U185" s="4"/>
      <c r="V185" s="4"/>
      <c r="W185" s="4"/>
      <c r="X185" s="4"/>
      <c r="Y185" s="4"/>
      <c r="Z185" s="4"/>
    </row>
    <row r="186" spans="1:26">
      <c r="A186" s="85" t="s">
        <v>255</v>
      </c>
      <c r="B186" s="90">
        <f t="shared" ref="B186:G186" si="22">SUM(B184:B185)</f>
        <v>0</v>
      </c>
      <c r="C186" s="90">
        <f t="shared" si="22"/>
        <v>3499.2</v>
      </c>
      <c r="D186" s="90">
        <f t="shared" si="22"/>
        <v>5310.7650000000003</v>
      </c>
      <c r="E186" s="90">
        <f t="shared" si="22"/>
        <v>6943.7250000000004</v>
      </c>
      <c r="F186" s="90">
        <f t="shared" si="22"/>
        <v>7388.415</v>
      </c>
      <c r="G186" s="90">
        <f t="shared" si="22"/>
        <v>7782.0749999999998</v>
      </c>
      <c r="H186" s="4"/>
      <c r="I186" s="4"/>
      <c r="J186" s="4"/>
      <c r="K186" s="4"/>
      <c r="L186" s="4"/>
      <c r="M186" s="4"/>
      <c r="N186" s="4"/>
      <c r="O186" s="4"/>
      <c r="P186" s="4"/>
      <c r="Q186" s="4"/>
      <c r="R186" s="4"/>
      <c r="S186" s="4"/>
      <c r="T186" s="4"/>
      <c r="U186" s="4"/>
      <c r="V186" s="4"/>
      <c r="W186" s="4"/>
      <c r="X186" s="4"/>
      <c r="Y186" s="4"/>
      <c r="Z186" s="4"/>
    </row>
    <row r="187" spans="1:26">
      <c r="A187" s="85"/>
      <c r="B187" s="90"/>
      <c r="C187" s="88"/>
      <c r="D187" s="88"/>
      <c r="E187" s="88"/>
      <c r="F187" s="88"/>
      <c r="G187" s="88"/>
      <c r="H187" s="4"/>
      <c r="I187" s="4"/>
      <c r="J187" s="4"/>
      <c r="K187" s="4"/>
      <c r="L187" s="4"/>
      <c r="M187" s="4"/>
      <c r="N187" s="4"/>
      <c r="O187" s="4"/>
      <c r="P187" s="4"/>
      <c r="Q187" s="4"/>
      <c r="R187" s="4"/>
      <c r="S187" s="4"/>
      <c r="T187" s="4"/>
      <c r="U187" s="4"/>
      <c r="V187" s="4"/>
      <c r="W187" s="4"/>
      <c r="X187" s="4"/>
      <c r="Y187" s="4"/>
      <c r="Z187" s="4"/>
    </row>
    <row r="188" spans="1:26" ht="15.75">
      <c r="A188" s="100" t="s">
        <v>256</v>
      </c>
      <c r="B188" s="92">
        <f t="shared" ref="B188:G188" si="23">B186+B181+B174+B166+B135+B130+B112+B106+B98+B92+B86+B80+B75+B67+B55</f>
        <v>0</v>
      </c>
      <c r="C188" s="92">
        <f t="shared" si="23"/>
        <v>4247300.0797499996</v>
      </c>
      <c r="D188" s="92">
        <f t="shared" si="23"/>
        <v>6035557.9662500005</v>
      </c>
      <c r="E188" s="92">
        <f t="shared" si="23"/>
        <v>7660626.6445000004</v>
      </c>
      <c r="F188" s="92">
        <f t="shared" si="23"/>
        <v>8124019.8030900005</v>
      </c>
      <c r="G188" s="92">
        <f t="shared" si="23"/>
        <v>8299628.5656467993</v>
      </c>
      <c r="H188" s="4"/>
      <c r="I188" s="4"/>
      <c r="J188" s="4"/>
      <c r="K188" s="4"/>
      <c r="L188" s="4"/>
      <c r="M188" s="4"/>
      <c r="N188" s="4"/>
      <c r="O188" s="4"/>
      <c r="P188" s="4"/>
      <c r="Q188" s="4"/>
      <c r="R188" s="4"/>
      <c r="S188" s="4"/>
      <c r="T188" s="4"/>
      <c r="U188" s="4"/>
      <c r="V188" s="4"/>
      <c r="W188" s="4"/>
      <c r="X188" s="4"/>
      <c r="Y188" s="4"/>
      <c r="Z188" s="4"/>
    </row>
    <row r="189" spans="1:26">
      <c r="A189" s="23"/>
      <c r="B189" s="90"/>
      <c r="C189" s="90"/>
      <c r="D189" s="90"/>
      <c r="E189" s="90"/>
      <c r="F189" s="90"/>
      <c r="G189" s="90"/>
      <c r="H189" s="4"/>
      <c r="I189" s="4"/>
      <c r="J189" s="4"/>
      <c r="K189" s="4"/>
      <c r="L189" s="4"/>
      <c r="M189" s="4"/>
      <c r="N189" s="4"/>
      <c r="O189" s="4"/>
      <c r="P189" s="4"/>
      <c r="Q189" s="4"/>
      <c r="R189" s="4"/>
      <c r="S189" s="4"/>
      <c r="T189" s="4"/>
      <c r="U189" s="4"/>
      <c r="V189" s="4"/>
      <c r="W189" s="4"/>
      <c r="X189" s="4"/>
      <c r="Y189" s="4"/>
      <c r="Z189" s="4"/>
    </row>
    <row r="190" spans="1:26">
      <c r="A190" s="23" t="s">
        <v>257</v>
      </c>
      <c r="B190" s="90">
        <f>'Year 0'!B190</f>
        <v>0</v>
      </c>
      <c r="C190" s="88">
        <f>'Year 1'!B190</f>
        <v>0</v>
      </c>
      <c r="D190" s="88">
        <f>'Year 2'!B190</f>
        <v>0</v>
      </c>
      <c r="E190" s="88">
        <f>'Year 3'!B190</f>
        <v>0</v>
      </c>
      <c r="F190" s="88">
        <f>'Year 4'!B190</f>
        <v>0</v>
      </c>
      <c r="G190" s="88">
        <f>'Year 5'!B190</f>
        <v>0</v>
      </c>
      <c r="H190" s="4"/>
      <c r="I190" s="4"/>
      <c r="J190" s="4"/>
      <c r="K190" s="4"/>
      <c r="L190" s="4"/>
      <c r="M190" s="4"/>
      <c r="N190" s="4"/>
      <c r="O190" s="4"/>
      <c r="P190" s="4"/>
      <c r="Q190" s="4"/>
      <c r="R190" s="4"/>
      <c r="S190" s="4"/>
      <c r="T190" s="4"/>
      <c r="U190" s="4"/>
      <c r="V190" s="4"/>
      <c r="W190" s="4"/>
      <c r="X190" s="4"/>
      <c r="Y190" s="4"/>
      <c r="Z190" s="4"/>
    </row>
    <row r="191" spans="1:26">
      <c r="A191" s="87"/>
      <c r="B191" s="88"/>
      <c r="C191" s="88"/>
      <c r="D191" s="88"/>
      <c r="E191" s="88"/>
      <c r="F191" s="88"/>
      <c r="G191" s="88"/>
      <c r="H191" s="4"/>
      <c r="I191" s="4"/>
      <c r="J191" s="4"/>
      <c r="K191" s="4"/>
      <c r="L191" s="4"/>
      <c r="M191" s="4"/>
      <c r="N191" s="4"/>
      <c r="O191" s="4"/>
      <c r="P191" s="4"/>
      <c r="Q191" s="4"/>
      <c r="R191" s="4"/>
      <c r="S191" s="4"/>
      <c r="T191" s="4"/>
      <c r="U191" s="4"/>
      <c r="V191" s="4"/>
      <c r="W191" s="4"/>
      <c r="X191" s="4"/>
      <c r="Y191" s="4"/>
      <c r="Z191" s="4"/>
    </row>
    <row r="192" spans="1:26" ht="15.75">
      <c r="A192" s="102" t="s">
        <v>258</v>
      </c>
      <c r="B192" s="90">
        <f t="shared" ref="B192:G192" si="24">B28-B188-B190</f>
        <v>0</v>
      </c>
      <c r="C192" s="90">
        <f t="shared" si="24"/>
        <v>162179.92025000043</v>
      </c>
      <c r="D192" s="90">
        <f t="shared" si="24"/>
        <v>605838.03374999948</v>
      </c>
      <c r="E192" s="90">
        <f t="shared" si="24"/>
        <v>1025195.3554999996</v>
      </c>
      <c r="F192" s="90">
        <f t="shared" si="24"/>
        <v>1216081.1969099995</v>
      </c>
      <c r="G192" s="90">
        <f t="shared" si="24"/>
        <v>1649710.4343532007</v>
      </c>
      <c r="H192" s="4"/>
      <c r="I192" s="4"/>
      <c r="J192" s="4"/>
      <c r="K192" s="4"/>
      <c r="L192" s="4"/>
      <c r="M192" s="4"/>
      <c r="N192" s="4"/>
      <c r="O192" s="4"/>
      <c r="P192" s="4"/>
      <c r="Q192" s="4"/>
      <c r="R192" s="4"/>
      <c r="S192" s="4"/>
      <c r="T192" s="4"/>
      <c r="U192" s="4"/>
      <c r="V192" s="4"/>
      <c r="W192" s="4"/>
      <c r="X192" s="4"/>
      <c r="Y192" s="4"/>
      <c r="Z192" s="4"/>
    </row>
    <row r="193" spans="1:26" ht="30">
      <c r="A193" s="103" t="s">
        <v>259</v>
      </c>
      <c r="B193" s="88">
        <f t="shared" ref="B193:G193" si="25">(B28-B26)*0.03</f>
        <v>0</v>
      </c>
      <c r="C193" s="88">
        <f t="shared" si="25"/>
        <v>132284.4</v>
      </c>
      <c r="D193" s="88">
        <f t="shared" si="25"/>
        <v>199241.88</v>
      </c>
      <c r="E193" s="88">
        <f t="shared" si="25"/>
        <v>260574.66</v>
      </c>
      <c r="F193" s="88">
        <f t="shared" si="25"/>
        <v>280203.02999999997</v>
      </c>
      <c r="G193" s="88">
        <f t="shared" si="25"/>
        <v>298480.17</v>
      </c>
      <c r="H193" s="4"/>
      <c r="I193" s="4"/>
      <c r="J193" s="4"/>
      <c r="K193" s="4"/>
      <c r="L193" s="4"/>
      <c r="M193" s="4"/>
      <c r="N193" s="4"/>
      <c r="O193" s="4"/>
      <c r="P193" s="4"/>
      <c r="Q193" s="4"/>
      <c r="R193" s="4"/>
      <c r="S193" s="4"/>
      <c r="T193" s="4"/>
      <c r="U193" s="4"/>
      <c r="V193" s="4"/>
      <c r="W193" s="4"/>
      <c r="X193" s="4"/>
      <c r="Y193" s="4"/>
      <c r="Z193" s="4"/>
    </row>
    <row r="194" spans="1:26">
      <c r="A194" s="104" t="s">
        <v>260</v>
      </c>
      <c r="B194" s="88">
        <f t="shared" ref="B194:G194" si="26">B192-B193</f>
        <v>0</v>
      </c>
      <c r="C194" s="88">
        <f t="shared" si="26"/>
        <v>29895.520250000438</v>
      </c>
      <c r="D194" s="88">
        <f t="shared" si="26"/>
        <v>406596.15374999947</v>
      </c>
      <c r="E194" s="88">
        <f t="shared" si="26"/>
        <v>764620.69549999957</v>
      </c>
      <c r="F194" s="88">
        <f t="shared" si="26"/>
        <v>935878.16690999945</v>
      </c>
      <c r="G194" s="88">
        <f t="shared" si="26"/>
        <v>1351230.2643532008</v>
      </c>
      <c r="H194" s="4"/>
      <c r="I194" s="4"/>
      <c r="J194" s="4"/>
      <c r="K194" s="4"/>
      <c r="L194" s="4"/>
      <c r="M194" s="4"/>
      <c r="N194" s="4"/>
      <c r="O194" s="4"/>
      <c r="P194" s="4"/>
      <c r="Q194" s="4"/>
      <c r="R194" s="4"/>
      <c r="S194" s="4"/>
      <c r="T194" s="4"/>
      <c r="U194" s="4"/>
      <c r="V194" s="4"/>
      <c r="W194" s="4"/>
      <c r="X194" s="4"/>
      <c r="Y194" s="4"/>
      <c r="Z194" s="4"/>
    </row>
    <row r="195" spans="1:26">
      <c r="A195" s="105"/>
      <c r="B195" s="88"/>
      <c r="C195" s="88"/>
      <c r="D195" s="88"/>
      <c r="E195" s="88"/>
      <c r="F195" s="88"/>
      <c r="G195" s="88"/>
      <c r="H195" s="4"/>
      <c r="I195" s="4"/>
      <c r="J195" s="4"/>
      <c r="K195" s="4"/>
      <c r="L195" s="4"/>
      <c r="M195" s="4"/>
      <c r="N195" s="4"/>
      <c r="O195" s="4"/>
      <c r="P195" s="4"/>
      <c r="Q195" s="4"/>
      <c r="R195" s="4"/>
      <c r="S195" s="4"/>
      <c r="T195" s="4"/>
      <c r="U195" s="4"/>
      <c r="V195" s="4"/>
      <c r="W195" s="4"/>
      <c r="X195" s="4"/>
      <c r="Y195" s="4"/>
      <c r="Z195" s="4"/>
    </row>
    <row r="196" spans="1:26">
      <c r="A196" s="106" t="s">
        <v>261</v>
      </c>
      <c r="B196" s="90">
        <v>0</v>
      </c>
      <c r="C196" s="90">
        <f t="shared" ref="C196:G196" si="27">B197</f>
        <v>0</v>
      </c>
      <c r="D196" s="90">
        <f t="shared" si="27"/>
        <v>132284.4</v>
      </c>
      <c r="E196" s="90">
        <f t="shared" si="27"/>
        <v>331526.28000000003</v>
      </c>
      <c r="F196" s="90">
        <f t="shared" si="27"/>
        <v>592100.94000000006</v>
      </c>
      <c r="G196" s="90">
        <f t="shared" si="27"/>
        <v>872303.97</v>
      </c>
      <c r="H196" s="4"/>
      <c r="I196" s="4"/>
      <c r="J196" s="4"/>
      <c r="K196" s="4"/>
      <c r="L196" s="4"/>
      <c r="M196" s="4"/>
      <c r="N196" s="4"/>
      <c r="O196" s="4"/>
      <c r="P196" s="4"/>
      <c r="Q196" s="4"/>
      <c r="R196" s="4"/>
      <c r="S196" s="4"/>
      <c r="T196" s="4"/>
      <c r="U196" s="4"/>
      <c r="V196" s="4"/>
      <c r="W196" s="4"/>
      <c r="X196" s="4"/>
      <c r="Y196" s="4"/>
      <c r="Z196" s="4"/>
    </row>
    <row r="197" spans="1:26">
      <c r="A197" s="106" t="s">
        <v>262</v>
      </c>
      <c r="B197" s="90">
        <f t="shared" ref="B197:G197" si="28">B193+B196</f>
        <v>0</v>
      </c>
      <c r="C197" s="90">
        <f t="shared" si="28"/>
        <v>132284.4</v>
      </c>
      <c r="D197" s="90">
        <f t="shared" si="28"/>
        <v>331526.28000000003</v>
      </c>
      <c r="E197" s="90">
        <f t="shared" si="28"/>
        <v>592100.94000000006</v>
      </c>
      <c r="F197" s="90">
        <f t="shared" si="28"/>
        <v>872303.97</v>
      </c>
      <c r="G197" s="90">
        <f t="shared" si="28"/>
        <v>1170784.1399999999</v>
      </c>
      <c r="H197" s="4"/>
      <c r="I197" s="4"/>
      <c r="J197" s="4"/>
      <c r="K197" s="4"/>
      <c r="L197" s="4"/>
      <c r="M197" s="4"/>
      <c r="N197" s="4"/>
      <c r="O197" s="4"/>
      <c r="P197" s="4"/>
      <c r="Q197" s="4"/>
      <c r="R197" s="4"/>
      <c r="S197" s="4"/>
      <c r="T197" s="4"/>
      <c r="U197" s="4"/>
      <c r="V197" s="4"/>
      <c r="W197" s="4"/>
      <c r="X197" s="4"/>
      <c r="Y197" s="4"/>
      <c r="Z197" s="4"/>
    </row>
    <row r="198" spans="1:26">
      <c r="A198" s="105"/>
      <c r="B198" s="88"/>
      <c r="C198" s="90"/>
      <c r="D198" s="90"/>
      <c r="E198" s="90"/>
      <c r="F198" s="90"/>
      <c r="G198" s="90"/>
      <c r="H198" s="4"/>
      <c r="I198" s="4"/>
      <c r="J198" s="4"/>
      <c r="K198" s="4"/>
      <c r="L198" s="4"/>
      <c r="M198" s="4"/>
      <c r="N198" s="4"/>
      <c r="O198" s="4"/>
      <c r="P198" s="4"/>
      <c r="Q198" s="4"/>
      <c r="R198" s="4"/>
      <c r="S198" s="4"/>
      <c r="T198" s="4"/>
      <c r="U198" s="4"/>
      <c r="V198" s="4"/>
      <c r="W198" s="4"/>
      <c r="X198" s="4"/>
      <c r="Y198" s="4"/>
      <c r="Z198" s="4"/>
    </row>
    <row r="199" spans="1:26">
      <c r="A199" s="106" t="s">
        <v>263</v>
      </c>
      <c r="B199" s="90">
        <v>0</v>
      </c>
      <c r="C199" s="90">
        <f t="shared" ref="C199:G199" si="29">B200</f>
        <v>0</v>
      </c>
      <c r="D199" s="90">
        <f t="shared" si="29"/>
        <v>162179.92025000043</v>
      </c>
      <c r="E199" s="90">
        <f t="shared" si="29"/>
        <v>768017.95399999991</v>
      </c>
      <c r="F199" s="90">
        <f t="shared" si="29"/>
        <v>1793213.3094999995</v>
      </c>
      <c r="G199" s="90">
        <f t="shared" si="29"/>
        <v>3009294.506409999</v>
      </c>
      <c r="H199" s="4"/>
      <c r="I199" s="4"/>
      <c r="J199" s="4"/>
      <c r="K199" s="4"/>
      <c r="L199" s="4"/>
      <c r="M199" s="4"/>
      <c r="N199" s="4"/>
      <c r="O199" s="4"/>
      <c r="P199" s="4"/>
      <c r="Q199" s="4"/>
      <c r="R199" s="4"/>
      <c r="S199" s="4"/>
      <c r="T199" s="4"/>
      <c r="U199" s="4"/>
      <c r="V199" s="4"/>
      <c r="W199" s="4"/>
      <c r="X199" s="4"/>
      <c r="Y199" s="4"/>
      <c r="Z199" s="4"/>
    </row>
    <row r="200" spans="1:26">
      <c r="A200" s="106" t="s">
        <v>264</v>
      </c>
      <c r="B200" s="90">
        <f t="shared" ref="B200:G200" si="30">B199+B192</f>
        <v>0</v>
      </c>
      <c r="C200" s="90">
        <f t="shared" si="30"/>
        <v>162179.92025000043</v>
      </c>
      <c r="D200" s="90">
        <f t="shared" si="30"/>
        <v>768017.95399999991</v>
      </c>
      <c r="E200" s="90">
        <f t="shared" si="30"/>
        <v>1793213.3094999995</v>
      </c>
      <c r="F200" s="90">
        <f t="shared" si="30"/>
        <v>3009294.506409999</v>
      </c>
      <c r="G200" s="90">
        <f t="shared" si="30"/>
        <v>4659004.9407631997</v>
      </c>
      <c r="H200" s="4"/>
      <c r="I200" s="4"/>
      <c r="J200" s="4"/>
      <c r="K200" s="4"/>
      <c r="L200" s="4"/>
      <c r="M200" s="4"/>
      <c r="N200" s="4"/>
      <c r="O200" s="4"/>
      <c r="P200" s="4"/>
      <c r="Q200" s="4"/>
      <c r="R200" s="4"/>
      <c r="S200" s="4"/>
      <c r="T200" s="4"/>
      <c r="U200" s="4"/>
      <c r="V200" s="4"/>
      <c r="W200" s="4"/>
      <c r="X200" s="4"/>
      <c r="Y200" s="4"/>
      <c r="Z200" s="4"/>
    </row>
    <row r="201" spans="1:26">
      <c r="A201" s="87"/>
      <c r="B201" s="88"/>
      <c r="C201" s="88"/>
      <c r="D201" s="88"/>
      <c r="E201" s="88"/>
      <c r="F201" s="88"/>
      <c r="G201" s="88"/>
      <c r="H201" s="4"/>
      <c r="I201" s="4"/>
      <c r="J201" s="4"/>
      <c r="K201" s="4"/>
      <c r="L201" s="4"/>
      <c r="M201" s="4"/>
      <c r="N201" s="4"/>
      <c r="O201" s="4"/>
      <c r="P201" s="4"/>
      <c r="Q201" s="4"/>
      <c r="R201" s="4"/>
      <c r="S201" s="4"/>
      <c r="T201" s="4"/>
      <c r="U201" s="4"/>
      <c r="V201" s="4"/>
      <c r="W201" s="4"/>
      <c r="X201" s="4"/>
      <c r="Y201" s="4"/>
      <c r="Z201" s="4"/>
    </row>
    <row r="202" spans="1:26">
      <c r="A202" s="87"/>
      <c r="B202" s="88"/>
      <c r="C202" s="88"/>
      <c r="D202" s="88"/>
      <c r="E202" s="88"/>
      <c r="F202" s="88"/>
      <c r="G202" s="88"/>
      <c r="H202" s="4"/>
      <c r="I202" s="4"/>
      <c r="J202" s="4"/>
      <c r="K202" s="4"/>
      <c r="L202" s="4"/>
      <c r="M202" s="4"/>
      <c r="N202" s="4"/>
      <c r="O202" s="4"/>
      <c r="P202" s="4"/>
      <c r="Q202" s="4"/>
      <c r="R202" s="4"/>
      <c r="S202" s="4"/>
      <c r="T202" s="4"/>
      <c r="U202" s="4"/>
      <c r="V202" s="4"/>
      <c r="W202" s="4"/>
      <c r="X202" s="4"/>
      <c r="Y202" s="4"/>
      <c r="Z202" s="4"/>
    </row>
    <row r="203" spans="1:26">
      <c r="A203" s="85"/>
      <c r="B203" s="90"/>
      <c r="C203" s="90"/>
      <c r="D203" s="90"/>
      <c r="E203" s="90"/>
      <c r="F203" s="90"/>
      <c r="G203" s="90"/>
      <c r="H203" s="4"/>
      <c r="I203" s="4"/>
      <c r="J203" s="4"/>
      <c r="K203" s="4"/>
      <c r="L203" s="4"/>
      <c r="M203" s="4"/>
      <c r="N203" s="4"/>
      <c r="O203" s="4"/>
      <c r="P203" s="4"/>
      <c r="Q203" s="4"/>
      <c r="R203" s="4"/>
      <c r="S203" s="4"/>
      <c r="T203" s="4"/>
      <c r="U203" s="4"/>
      <c r="V203" s="4"/>
      <c r="W203" s="4"/>
      <c r="X203" s="4"/>
      <c r="Y203" s="4"/>
      <c r="Z203" s="4"/>
    </row>
    <row r="204" spans="1:26">
      <c r="A204" s="85"/>
      <c r="B204" s="90"/>
      <c r="C204" s="90"/>
      <c r="D204" s="90"/>
      <c r="E204" s="90"/>
      <c r="F204" s="90"/>
      <c r="G204" s="90"/>
      <c r="H204" s="4"/>
      <c r="I204" s="4"/>
      <c r="J204" s="4"/>
      <c r="K204" s="4"/>
      <c r="L204" s="4"/>
      <c r="M204" s="4"/>
      <c r="N204" s="4"/>
      <c r="O204" s="4"/>
      <c r="P204" s="4"/>
      <c r="Q204" s="4"/>
      <c r="R204" s="4"/>
      <c r="S204" s="4"/>
      <c r="T204" s="4"/>
      <c r="U204" s="4"/>
      <c r="V204" s="4"/>
      <c r="W204" s="4"/>
      <c r="X204" s="4"/>
      <c r="Y204" s="4"/>
      <c r="Z204" s="4"/>
    </row>
    <row r="205" spans="1:26">
      <c r="A205" s="85"/>
      <c r="B205" s="90"/>
      <c r="C205" s="90"/>
      <c r="D205" s="90"/>
      <c r="E205" s="90"/>
      <c r="F205" s="90"/>
      <c r="G205" s="90"/>
      <c r="H205" s="4"/>
      <c r="I205" s="4"/>
      <c r="J205" s="4"/>
      <c r="K205" s="4"/>
      <c r="L205" s="4"/>
      <c r="M205" s="4"/>
      <c r="N205" s="4"/>
      <c r="O205" s="4"/>
      <c r="P205" s="4"/>
      <c r="Q205" s="4"/>
      <c r="R205" s="4"/>
      <c r="S205" s="4"/>
      <c r="T205" s="4"/>
      <c r="U205" s="4"/>
      <c r="V205" s="4"/>
      <c r="W205" s="4"/>
      <c r="X205" s="4"/>
      <c r="Y205" s="4"/>
      <c r="Z205" s="4"/>
    </row>
    <row r="206" spans="1:26">
      <c r="A206" s="87"/>
      <c r="B206" s="88"/>
      <c r="C206" s="88"/>
      <c r="D206" s="88"/>
      <c r="E206" s="88"/>
      <c r="F206" s="88"/>
      <c r="G206" s="88"/>
      <c r="H206" s="4"/>
      <c r="I206" s="4"/>
      <c r="J206" s="4"/>
      <c r="K206" s="4"/>
      <c r="L206" s="4"/>
      <c r="M206" s="4"/>
      <c r="N206" s="4"/>
      <c r="O206" s="4"/>
      <c r="P206" s="4"/>
      <c r="Q206" s="4"/>
      <c r="R206" s="4"/>
      <c r="S206" s="4"/>
      <c r="T206" s="4"/>
      <c r="U206" s="4"/>
      <c r="V206" s="4"/>
      <c r="W206" s="4"/>
      <c r="X206" s="4"/>
      <c r="Y206" s="4"/>
      <c r="Z206" s="4"/>
    </row>
    <row r="207" spans="1:26">
      <c r="A207" s="87"/>
      <c r="B207" s="88"/>
      <c r="C207" s="88"/>
      <c r="D207" s="88"/>
      <c r="E207" s="88"/>
      <c r="F207" s="88"/>
      <c r="G207" s="88"/>
      <c r="H207" s="4"/>
      <c r="I207" s="4"/>
      <c r="J207" s="4"/>
      <c r="K207" s="4"/>
      <c r="L207" s="4"/>
      <c r="M207" s="4"/>
      <c r="N207" s="4"/>
      <c r="O207" s="4"/>
      <c r="P207" s="4"/>
      <c r="Q207" s="4"/>
      <c r="R207" s="4"/>
      <c r="S207" s="4"/>
      <c r="T207" s="4"/>
      <c r="U207" s="4"/>
      <c r="V207" s="4"/>
      <c r="W207" s="4"/>
      <c r="X207" s="4"/>
      <c r="Y207" s="4"/>
      <c r="Z207" s="4"/>
    </row>
    <row r="208" spans="1:26">
      <c r="A208" s="85"/>
      <c r="B208" s="90"/>
      <c r="C208" s="90"/>
      <c r="D208" s="90"/>
      <c r="E208" s="90"/>
      <c r="F208" s="90"/>
      <c r="G208" s="90"/>
      <c r="H208" s="4"/>
      <c r="I208" s="4"/>
      <c r="J208" s="4"/>
      <c r="K208" s="4"/>
      <c r="L208" s="4"/>
      <c r="M208" s="4"/>
      <c r="N208" s="4"/>
      <c r="O208" s="4"/>
      <c r="P208" s="4"/>
      <c r="Q208" s="4"/>
      <c r="R208" s="4"/>
      <c r="S208" s="4"/>
      <c r="T208" s="4"/>
      <c r="U208" s="4"/>
      <c r="V208" s="4"/>
      <c r="W208" s="4"/>
      <c r="X208" s="4"/>
      <c r="Y208" s="4"/>
      <c r="Z208" s="4"/>
    </row>
    <row r="209" spans="1:26">
      <c r="A209" s="85"/>
      <c r="B209" s="90"/>
      <c r="C209" s="90"/>
      <c r="D209" s="90"/>
      <c r="E209" s="90"/>
      <c r="F209" s="90"/>
      <c r="G209" s="90"/>
      <c r="H209" s="4"/>
      <c r="I209" s="4"/>
      <c r="J209" s="4"/>
      <c r="K209" s="4"/>
      <c r="L209" s="4"/>
      <c r="M209" s="4"/>
      <c r="N209" s="4"/>
      <c r="O209" s="4"/>
      <c r="P209" s="4"/>
      <c r="Q209" s="4"/>
      <c r="R209" s="4"/>
      <c r="S209" s="4"/>
      <c r="T209" s="4"/>
      <c r="U209" s="4"/>
      <c r="V209" s="4"/>
      <c r="W209" s="4"/>
      <c r="X209" s="4"/>
      <c r="Y209" s="4"/>
      <c r="Z209" s="4"/>
    </row>
    <row r="210" spans="1:26" ht="15.75">
      <c r="A210" s="108"/>
      <c r="B210" s="90"/>
      <c r="C210" s="90"/>
      <c r="D210" s="90"/>
      <c r="E210" s="90"/>
      <c r="F210" s="90"/>
      <c r="G210" s="90"/>
      <c r="H210" s="4"/>
      <c r="I210" s="4"/>
      <c r="J210" s="4"/>
      <c r="K210" s="4"/>
      <c r="L210" s="4"/>
      <c r="M210" s="4"/>
      <c r="N210" s="4"/>
      <c r="O210" s="4"/>
      <c r="P210" s="4"/>
      <c r="Q210" s="4"/>
      <c r="R210" s="4"/>
      <c r="S210" s="4"/>
      <c r="T210" s="4"/>
      <c r="U210" s="4"/>
      <c r="V210" s="4"/>
      <c r="W210" s="4"/>
      <c r="X210" s="4"/>
      <c r="Y210" s="4"/>
      <c r="Z210" s="4"/>
    </row>
    <row r="211" spans="1:26">
      <c r="A211" s="23"/>
      <c r="B211" s="90"/>
      <c r="C211" s="90"/>
      <c r="D211" s="90"/>
      <c r="E211" s="90"/>
      <c r="F211" s="90"/>
      <c r="G211" s="90"/>
      <c r="H211" s="4"/>
      <c r="I211" s="4"/>
      <c r="J211" s="4"/>
      <c r="K211" s="4"/>
      <c r="L211" s="4"/>
      <c r="M211" s="4"/>
      <c r="N211" s="4"/>
      <c r="O211" s="4"/>
      <c r="P211" s="4"/>
      <c r="Q211" s="4"/>
      <c r="R211" s="4"/>
      <c r="S211" s="4"/>
      <c r="T211" s="4"/>
      <c r="U211" s="4"/>
      <c r="V211" s="4"/>
      <c r="W211" s="4"/>
      <c r="X211" s="4"/>
      <c r="Y211" s="4"/>
      <c r="Z211" s="4"/>
    </row>
    <row r="212" spans="1:26">
      <c r="A212" s="23"/>
      <c r="B212" s="88"/>
      <c r="C212" s="88"/>
      <c r="D212" s="88"/>
      <c r="E212" s="88"/>
      <c r="F212" s="88"/>
      <c r="G212" s="88"/>
      <c r="H212" s="4"/>
      <c r="I212" s="4"/>
      <c r="J212" s="4"/>
      <c r="K212" s="4"/>
      <c r="L212" s="4"/>
      <c r="M212" s="4"/>
      <c r="N212" s="4"/>
      <c r="O212" s="4"/>
      <c r="P212" s="4"/>
      <c r="Q212" s="4"/>
      <c r="R212" s="4"/>
      <c r="S212" s="4"/>
      <c r="T212" s="4"/>
      <c r="U212" s="4"/>
      <c r="V212" s="4"/>
      <c r="W212" s="4"/>
      <c r="X212" s="4"/>
      <c r="Y212" s="4"/>
      <c r="Z212" s="4"/>
    </row>
    <row r="213" spans="1:26">
      <c r="A213" s="87"/>
      <c r="B213" s="88"/>
      <c r="C213" s="88"/>
      <c r="D213" s="88"/>
      <c r="E213" s="88"/>
      <c r="F213" s="88"/>
      <c r="G213" s="88"/>
      <c r="H213" s="4"/>
      <c r="I213" s="4"/>
      <c r="J213" s="4"/>
      <c r="K213" s="4"/>
      <c r="L213" s="4"/>
      <c r="M213" s="4"/>
      <c r="N213" s="4"/>
      <c r="O213" s="4"/>
      <c r="P213" s="4"/>
      <c r="Q213" s="4"/>
      <c r="R213" s="4"/>
      <c r="S213" s="4"/>
      <c r="T213" s="4"/>
      <c r="U213" s="4"/>
      <c r="V213" s="4"/>
      <c r="W213" s="4"/>
      <c r="X213" s="4"/>
      <c r="Y213" s="4"/>
      <c r="Z213" s="4"/>
    </row>
    <row r="214" spans="1:26" ht="15.75">
      <c r="A214" s="109"/>
      <c r="B214" s="110"/>
      <c r="C214" s="110"/>
      <c r="D214" s="110"/>
      <c r="E214" s="110"/>
      <c r="F214" s="110"/>
      <c r="G214" s="110"/>
      <c r="H214" s="4"/>
      <c r="I214" s="4"/>
      <c r="J214" s="4"/>
      <c r="K214" s="4"/>
      <c r="L214" s="4"/>
      <c r="M214" s="4"/>
      <c r="N214" s="4"/>
      <c r="O214" s="4"/>
      <c r="P214" s="4"/>
      <c r="Q214" s="4"/>
      <c r="R214" s="4"/>
      <c r="S214" s="4"/>
      <c r="T214" s="4"/>
      <c r="U214" s="4"/>
      <c r="V214" s="4"/>
      <c r="W214" s="4"/>
      <c r="X214" s="4"/>
      <c r="Y214" s="4"/>
      <c r="Z214" s="4"/>
    </row>
    <row r="215" spans="1:26">
      <c r="A215" s="111"/>
      <c r="B215" s="112"/>
      <c r="C215" s="112"/>
      <c r="D215" s="112"/>
      <c r="E215" s="112"/>
      <c r="F215" s="112"/>
      <c r="G215" s="112"/>
      <c r="H215" s="4"/>
      <c r="I215" s="4"/>
      <c r="J215" s="4"/>
      <c r="K215" s="4"/>
      <c r="L215" s="4"/>
      <c r="M215" s="4"/>
      <c r="N215" s="4"/>
      <c r="O215" s="4"/>
      <c r="P215" s="4"/>
      <c r="Q215" s="4"/>
      <c r="R215" s="4"/>
      <c r="S215" s="4"/>
      <c r="T215" s="4"/>
      <c r="U215" s="4"/>
      <c r="V215" s="4"/>
      <c r="W215" s="4"/>
      <c r="X215" s="4"/>
      <c r="Y215" s="4"/>
      <c r="Z215" s="4"/>
    </row>
    <row r="216" spans="1:26">
      <c r="A216" s="111"/>
      <c r="B216" s="112"/>
      <c r="C216" s="112"/>
      <c r="D216" s="112"/>
      <c r="E216" s="112"/>
      <c r="F216" s="112"/>
      <c r="G216" s="112"/>
      <c r="H216" s="4"/>
      <c r="I216" s="4"/>
      <c r="J216" s="4"/>
      <c r="K216" s="4"/>
      <c r="L216" s="4"/>
      <c r="M216" s="4"/>
      <c r="N216" s="4"/>
      <c r="O216" s="4"/>
      <c r="P216" s="4"/>
      <c r="Q216" s="4"/>
      <c r="R216" s="4"/>
      <c r="S216" s="4"/>
      <c r="T216" s="4"/>
      <c r="U216" s="4"/>
      <c r="V216" s="4"/>
      <c r="W216" s="4"/>
      <c r="X216" s="4"/>
      <c r="Y216" s="4"/>
      <c r="Z216" s="4"/>
    </row>
    <row r="217" spans="1:26">
      <c r="A217" s="11"/>
      <c r="B217" s="112"/>
      <c r="C217" s="112"/>
      <c r="D217" s="112"/>
      <c r="E217" s="112"/>
      <c r="F217" s="112"/>
      <c r="G217" s="112"/>
      <c r="H217" s="4"/>
      <c r="I217" s="4"/>
      <c r="J217" s="4"/>
      <c r="K217" s="4"/>
      <c r="L217" s="4"/>
      <c r="M217" s="4"/>
      <c r="N217" s="4"/>
      <c r="O217" s="4"/>
      <c r="P217" s="4"/>
      <c r="Q217" s="4"/>
      <c r="R217" s="4"/>
      <c r="S217" s="4"/>
      <c r="T217" s="4"/>
      <c r="U217" s="4"/>
      <c r="V217" s="4"/>
      <c r="W217" s="4"/>
      <c r="X217" s="4"/>
      <c r="Y217" s="4"/>
      <c r="Z217" s="4"/>
    </row>
    <row r="218" spans="1:26">
      <c r="A218" s="10"/>
      <c r="B218" s="110"/>
      <c r="C218" s="110"/>
      <c r="D218" s="110"/>
      <c r="E218" s="110"/>
      <c r="F218" s="110"/>
      <c r="G218" s="110"/>
      <c r="H218" s="4"/>
      <c r="I218" s="4"/>
      <c r="J218" s="4"/>
      <c r="K218" s="4"/>
      <c r="L218" s="4"/>
      <c r="M218" s="4"/>
      <c r="N218" s="4"/>
      <c r="O218" s="4"/>
      <c r="P218" s="4"/>
      <c r="Q218" s="4"/>
      <c r="R218" s="4"/>
      <c r="S218" s="4"/>
      <c r="T218" s="4"/>
      <c r="U218" s="4"/>
      <c r="V218" s="4"/>
      <c r="W218" s="4"/>
      <c r="X218" s="4"/>
      <c r="Y218" s="4"/>
      <c r="Z218" s="4"/>
    </row>
    <row r="219" spans="1:26">
      <c r="A219" s="10"/>
      <c r="B219" s="110"/>
      <c r="C219" s="110"/>
      <c r="D219" s="110"/>
      <c r="E219" s="110"/>
      <c r="F219" s="110"/>
      <c r="G219" s="110"/>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t="s">
        <v>414</v>
      </c>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248" t="s">
        <v>144</v>
      </c>
      <c r="B249" s="76">
        <f>'Year 0'!B28-'Summary Years 0 - 5'!B28</f>
        <v>0</v>
      </c>
      <c r="C249" s="76">
        <f>'Year 1'!$B$28-'Summary Years 0 - 5'!C28</f>
        <v>0</v>
      </c>
      <c r="D249" s="76">
        <f>'Year 2'!$B$28-'Summary Years 0 - 5'!D28</f>
        <v>0</v>
      </c>
      <c r="E249" s="76">
        <f>'Year 3'!$B$28-'Summary Years 0 - 5'!E28</f>
        <v>0</v>
      </c>
      <c r="F249" s="76">
        <f>'Year 4'!$B$28-'Summary Years 0 - 5'!F28</f>
        <v>0</v>
      </c>
      <c r="G249" s="76">
        <f>'Year 5'!$B$28-'Summary Years 0 - 5'!G28</f>
        <v>0</v>
      </c>
      <c r="H249" s="4"/>
      <c r="I249" s="4"/>
      <c r="J249" s="4"/>
      <c r="K249" s="4"/>
      <c r="L249" s="4"/>
      <c r="M249" s="4"/>
      <c r="N249" s="4"/>
      <c r="O249" s="4"/>
      <c r="P249" s="4"/>
      <c r="Q249" s="4"/>
      <c r="R249" s="4"/>
      <c r="S249" s="4"/>
      <c r="T249" s="4"/>
      <c r="U249" s="4"/>
      <c r="V249" s="4"/>
      <c r="W249" s="4"/>
      <c r="X249" s="4"/>
      <c r="Y249" s="4"/>
      <c r="Z249" s="4"/>
    </row>
    <row r="250" spans="1:26">
      <c r="A250" s="248" t="s">
        <v>165</v>
      </c>
      <c r="B250" s="76">
        <f>'Year 0'!$B$188-'Summary Years 0 - 5'!B210</f>
        <v>0</v>
      </c>
      <c r="C250" s="76">
        <f>'Year 1'!$B$210-'Summary Years 0 - 5'!C210</f>
        <v>0</v>
      </c>
      <c r="D250" s="76">
        <f>'Year 2'!$B$210-'Summary Years 0 - 5'!D210</f>
        <v>0</v>
      </c>
      <c r="E250" s="76">
        <f>'Year 3'!$B$210-'Summary Years 0 - 5'!E210</f>
        <v>0</v>
      </c>
      <c r="F250" s="76">
        <f>'Year 4'!$B$210-'Summary Years 0 - 5'!F210</f>
        <v>0</v>
      </c>
      <c r="G250" s="76">
        <f>'Year 5'!$B$210-'Summary Years 0 - 5'!G210</f>
        <v>0</v>
      </c>
      <c r="H250" s="4"/>
      <c r="I250" s="4"/>
      <c r="J250" s="4"/>
      <c r="K250" s="4"/>
      <c r="L250" s="4"/>
      <c r="M250" s="4"/>
      <c r="N250" s="4"/>
      <c r="O250" s="4"/>
      <c r="P250" s="4"/>
      <c r="Q250" s="4"/>
      <c r="R250" s="4"/>
      <c r="S250" s="4"/>
      <c r="T250" s="4"/>
      <c r="U250" s="4"/>
      <c r="V250" s="4"/>
      <c r="W250" s="4"/>
      <c r="X250" s="4"/>
      <c r="Y250" s="4"/>
      <c r="Z250" s="4"/>
    </row>
    <row r="251" spans="1:26">
      <c r="A251" s="248" t="s">
        <v>258</v>
      </c>
      <c r="B251" s="76">
        <f>'Year 0'!$B192-'Summary Years 0 - 5'!B214</f>
        <v>0</v>
      </c>
      <c r="C251" s="76">
        <f>'Year 1'!$B214-'Summary Years 0 - 5'!C214</f>
        <v>0</v>
      </c>
      <c r="D251" s="76">
        <f>'Year 2'!$B214-'Summary Years 0 - 5'!D214</f>
        <v>0</v>
      </c>
      <c r="E251" s="76">
        <f>'Year 3'!$B214-'Summary Years 0 - 5'!E214</f>
        <v>0</v>
      </c>
      <c r="F251" s="76">
        <f>'Year 4'!$B214-'Summary Years 0 - 5'!F214</f>
        <v>0</v>
      </c>
      <c r="G251" s="76">
        <f>'Year 5'!$B214-'Summary Years 0 - 5'!G214</f>
        <v>0</v>
      </c>
      <c r="H251" s="4"/>
      <c r="I251" s="4"/>
      <c r="J251" s="4"/>
      <c r="K251" s="4"/>
      <c r="L251" s="4"/>
      <c r="M251" s="4"/>
      <c r="N251" s="4"/>
      <c r="O251" s="4"/>
      <c r="P251" s="4"/>
      <c r="Q251" s="4"/>
      <c r="R251" s="4"/>
      <c r="S251" s="4"/>
      <c r="T251" s="4"/>
      <c r="U251" s="4"/>
      <c r="V251" s="4"/>
      <c r="W251" s="4"/>
      <c r="X251" s="4"/>
      <c r="Y251" s="4"/>
      <c r="Z251" s="4"/>
    </row>
    <row r="252" spans="1:26">
      <c r="A252" s="248" t="s">
        <v>415</v>
      </c>
      <c r="B252" s="76">
        <f>'Year 0'!$B193-'Summary Years 0 - 5'!B215</f>
        <v>0</v>
      </c>
      <c r="C252" s="76">
        <f>'Year 1'!$B215-'Summary Years 0 - 5'!C215</f>
        <v>0</v>
      </c>
      <c r="D252" s="76">
        <f>'Year 2'!$B215-'Summary Years 0 - 5'!D215</f>
        <v>0</v>
      </c>
      <c r="E252" s="76">
        <f>'Year 3'!$B215-'Summary Years 0 - 5'!E215</f>
        <v>0</v>
      </c>
      <c r="F252" s="76">
        <f>'Year 4'!$B215-'Summary Years 0 - 5'!F215</f>
        <v>0</v>
      </c>
      <c r="G252" s="76">
        <f>'Year 5'!$B215-'Summary Years 0 - 5'!G215</f>
        <v>0</v>
      </c>
      <c r="H252" s="4"/>
      <c r="I252" s="4"/>
      <c r="J252" s="4"/>
      <c r="K252" s="4"/>
      <c r="L252" s="4"/>
      <c r="M252" s="4"/>
      <c r="N252" s="4"/>
      <c r="O252" s="4"/>
      <c r="P252" s="4"/>
      <c r="Q252" s="4"/>
      <c r="R252" s="4"/>
      <c r="S252" s="4"/>
      <c r="T252" s="4"/>
      <c r="U252" s="4"/>
      <c r="V252" s="4"/>
      <c r="W252" s="4"/>
      <c r="X252" s="4"/>
      <c r="Y252" s="4"/>
      <c r="Z252" s="4"/>
    </row>
    <row r="253" spans="1:26">
      <c r="A253" s="248" t="s">
        <v>416</v>
      </c>
      <c r="B253" s="76">
        <f>'Year 0'!$B194-'Summary Years 0 - 5'!B216</f>
        <v>0</v>
      </c>
      <c r="C253" s="76">
        <f>'Year 1'!$B216-'Summary Years 0 - 5'!C216</f>
        <v>0</v>
      </c>
      <c r="D253" s="76">
        <f>'Year 2'!$B216-'Summary Years 0 - 5'!D216</f>
        <v>0</v>
      </c>
      <c r="E253" s="76">
        <f>'Year 3'!$B216-'Summary Years 0 - 5'!E216</f>
        <v>0</v>
      </c>
      <c r="F253" s="76">
        <f>'Year 4'!$B216-'Summary Years 0 - 5'!F216</f>
        <v>0</v>
      </c>
      <c r="G253" s="76">
        <f>'Year 5'!$B216-'Summary Years 0 - 5'!G216</f>
        <v>0</v>
      </c>
      <c r="H253" s="4"/>
      <c r="I253" s="4"/>
      <c r="J253" s="4"/>
      <c r="K253" s="4"/>
      <c r="L253" s="4"/>
      <c r="M253" s="4"/>
      <c r="N253" s="4"/>
      <c r="O253" s="4"/>
      <c r="P253" s="4"/>
      <c r="Q253" s="4"/>
      <c r="R253" s="4"/>
      <c r="S253" s="4"/>
      <c r="T253" s="4"/>
      <c r="U253" s="4"/>
      <c r="V253" s="4"/>
      <c r="W253" s="4"/>
      <c r="X253" s="4"/>
      <c r="Y253" s="4"/>
      <c r="Z253" s="4"/>
    </row>
    <row r="254" spans="1:26">
      <c r="A254" s="248" t="s">
        <v>417</v>
      </c>
      <c r="B254" s="76">
        <f>'Year 0'!$B199-'Summary Years 0 - 5'!B218</f>
        <v>0</v>
      </c>
      <c r="C254" s="76">
        <f>'Year 1'!$B218-'Summary Years 0 - 5'!C218</f>
        <v>0</v>
      </c>
      <c r="D254" s="76">
        <f>'Year 2'!$B218-'Summary Years 0 - 5'!D218</f>
        <v>0</v>
      </c>
      <c r="E254" s="76">
        <f>'Year 3'!$B218-'Summary Years 0 - 5'!E218</f>
        <v>0</v>
      </c>
      <c r="F254" s="76">
        <f>'Year 4'!$B218-'Summary Years 0 - 5'!F218</f>
        <v>0</v>
      </c>
      <c r="G254" s="76">
        <f>'Year 5'!$B218-'Summary Years 0 - 5'!G218</f>
        <v>0</v>
      </c>
      <c r="H254" s="4"/>
      <c r="I254" s="4"/>
      <c r="J254" s="4"/>
      <c r="K254" s="4"/>
      <c r="L254" s="4"/>
      <c r="M254" s="4"/>
      <c r="N254" s="4"/>
      <c r="O254" s="4"/>
      <c r="P254" s="4"/>
      <c r="Q254" s="4"/>
      <c r="R254" s="4"/>
      <c r="S254" s="4"/>
      <c r="T254" s="4"/>
      <c r="U254" s="4"/>
      <c r="V254" s="4"/>
      <c r="W254" s="4"/>
      <c r="X254" s="4"/>
      <c r="Y254" s="4"/>
      <c r="Z254" s="4"/>
    </row>
    <row r="255" spans="1:26">
      <c r="A255" s="248" t="s">
        <v>418</v>
      </c>
      <c r="B255" s="76">
        <f>'Year 0'!$B200-'Summary Years 0 - 5'!B219</f>
        <v>0</v>
      </c>
      <c r="C255" s="76">
        <f>'Year 1'!$B219-'Summary Years 0 - 5'!C219</f>
        <v>0</v>
      </c>
      <c r="D255" s="76">
        <f>'Year 2'!$B219-'Summary Years 0 - 5'!D219</f>
        <v>0</v>
      </c>
      <c r="E255" s="76">
        <f>'Year 3'!$B219-'Summary Years 0 - 5'!E219</f>
        <v>0</v>
      </c>
      <c r="F255" s="76">
        <f>'Year 4'!$B219-'Summary Years 0 - 5'!F219</f>
        <v>0</v>
      </c>
      <c r="G255" s="76">
        <f>'Year 5'!$B219-'Summary Years 0 - 5'!G219</f>
        <v>0</v>
      </c>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A1:G1"/>
    <mergeCell ref="A30:G30"/>
    <mergeCell ref="A6:G6"/>
    <mergeCell ref="A2:G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5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 customHeight="1"/>
  <cols>
    <col min="1" max="1" width="35.7109375" customWidth="1"/>
    <col min="2" max="15" width="15.7109375" customWidth="1"/>
    <col min="16" max="26" width="8.7109375" customWidth="1"/>
  </cols>
  <sheetData>
    <row r="1" spans="1:26" ht="18.75">
      <c r="A1" s="325" t="str">
        <f>Assumptions!A1</f>
        <v>Leman Academy of Excellence</v>
      </c>
      <c r="B1" s="311"/>
      <c r="C1" s="311"/>
      <c r="D1" s="311"/>
      <c r="E1" s="311"/>
      <c r="F1" s="311"/>
      <c r="G1" s="311"/>
      <c r="H1" s="311"/>
      <c r="I1" s="311"/>
      <c r="J1" s="311"/>
      <c r="K1" s="311"/>
      <c r="L1" s="311"/>
      <c r="M1" s="311"/>
      <c r="N1" s="312"/>
      <c r="O1" s="249"/>
      <c r="P1" s="4"/>
      <c r="Q1" s="4"/>
      <c r="R1" s="4"/>
      <c r="S1" s="4"/>
      <c r="T1" s="4"/>
      <c r="U1" s="4"/>
      <c r="V1" s="4"/>
      <c r="W1" s="4"/>
      <c r="X1" s="4"/>
      <c r="Y1" s="4"/>
      <c r="Z1" s="4"/>
    </row>
    <row r="2" spans="1:26" ht="18" customHeight="1">
      <c r="A2" s="327" t="s">
        <v>419</v>
      </c>
      <c r="B2" s="320"/>
      <c r="C2" s="320"/>
      <c r="D2" s="320"/>
      <c r="E2" s="320"/>
      <c r="F2" s="320"/>
      <c r="G2" s="320"/>
      <c r="H2" s="320"/>
      <c r="I2" s="320"/>
      <c r="J2" s="320"/>
      <c r="K2" s="320"/>
      <c r="L2" s="320"/>
      <c r="M2" s="320"/>
      <c r="N2" s="320"/>
      <c r="O2" s="4"/>
      <c r="P2" s="4"/>
      <c r="Q2" s="4"/>
      <c r="R2" s="4"/>
      <c r="S2" s="4"/>
      <c r="T2" s="4"/>
      <c r="U2" s="4"/>
      <c r="V2" s="4"/>
      <c r="W2" s="4"/>
      <c r="X2" s="4"/>
      <c r="Y2" s="4"/>
      <c r="Z2" s="4"/>
    </row>
    <row r="3" spans="1:26">
      <c r="A3" s="23"/>
      <c r="B3" s="250" t="s">
        <v>3</v>
      </c>
      <c r="C3" s="251">
        <v>43647</v>
      </c>
      <c r="D3" s="251">
        <v>43678</v>
      </c>
      <c r="E3" s="251">
        <v>43709</v>
      </c>
      <c r="F3" s="251">
        <v>43739</v>
      </c>
      <c r="G3" s="251">
        <v>43770</v>
      </c>
      <c r="H3" s="251">
        <v>43800</v>
      </c>
      <c r="I3" s="251">
        <v>43831</v>
      </c>
      <c r="J3" s="251">
        <v>43862</v>
      </c>
      <c r="K3" s="251">
        <v>43891</v>
      </c>
      <c r="L3" s="251">
        <v>43922</v>
      </c>
      <c r="M3" s="251">
        <v>43952</v>
      </c>
      <c r="N3" s="251">
        <v>43983</v>
      </c>
      <c r="O3" s="250" t="s">
        <v>276</v>
      </c>
      <c r="P3" s="23"/>
      <c r="Q3" s="23"/>
      <c r="R3" s="23"/>
      <c r="S3" s="23"/>
      <c r="T3" s="23"/>
      <c r="U3" s="23"/>
      <c r="V3" s="23"/>
      <c r="W3" s="23"/>
      <c r="X3" s="23"/>
      <c r="Y3" s="23"/>
      <c r="Z3" s="23"/>
    </row>
    <row r="4" spans="1:26">
      <c r="B4" s="9"/>
      <c r="O4" s="9"/>
    </row>
    <row r="5" spans="1:26">
      <c r="A5" s="252" t="s">
        <v>420</v>
      </c>
      <c r="B5" s="253">
        <f>'Year 0'!B200-'Year 0'!B193</f>
        <v>0</v>
      </c>
      <c r="C5" s="254">
        <f>B6</f>
        <v>0</v>
      </c>
      <c r="D5" s="253">
        <f t="shared" ref="D5:N5" si="0">C5+C24-C102-C104</f>
        <v>103397.5433541666</v>
      </c>
      <c r="E5" s="253">
        <f t="shared" si="0"/>
        <v>206795.0867083332</v>
      </c>
      <c r="F5" s="253">
        <f t="shared" si="0"/>
        <v>191092.6300624999</v>
      </c>
      <c r="G5" s="253">
        <f t="shared" si="0"/>
        <v>175390.17341666657</v>
      </c>
      <c r="H5" s="253">
        <f t="shared" si="0"/>
        <v>159687.71677083324</v>
      </c>
      <c r="I5" s="253">
        <f t="shared" si="0"/>
        <v>143985.26012499991</v>
      </c>
      <c r="J5" s="253">
        <f t="shared" si="0"/>
        <v>128282.8034791666</v>
      </c>
      <c r="K5" s="253">
        <f t="shared" si="0"/>
        <v>112580.34683333327</v>
      </c>
      <c r="L5" s="253">
        <f t="shared" si="0"/>
        <v>96877.890187499943</v>
      </c>
      <c r="M5" s="253">
        <f t="shared" si="0"/>
        <v>81175.433541666614</v>
      </c>
      <c r="N5" s="255">
        <f t="shared" si="0"/>
        <v>65472.976895833286</v>
      </c>
      <c r="O5" s="253">
        <f t="shared" ref="O5:O6" si="1">B5</f>
        <v>0</v>
      </c>
      <c r="P5" s="256"/>
    </row>
    <row r="6" spans="1:26">
      <c r="A6" s="257" t="s">
        <v>421</v>
      </c>
      <c r="B6" s="253">
        <f>'Year 0'!B200</f>
        <v>0</v>
      </c>
      <c r="C6" s="253">
        <f>B6</f>
        <v>0</v>
      </c>
      <c r="D6" s="253">
        <f t="shared" ref="D6:N6" si="2">C5+C24-C102</f>
        <v>114421.2433541666</v>
      </c>
      <c r="E6" s="253">
        <f t="shared" si="2"/>
        <v>217818.78670833321</v>
      </c>
      <c r="F6" s="253">
        <f t="shared" si="2"/>
        <v>202116.33006249991</v>
      </c>
      <c r="G6" s="253">
        <f t="shared" si="2"/>
        <v>186413.87341666658</v>
      </c>
      <c r="H6" s="253">
        <f t="shared" si="2"/>
        <v>170711.41677083325</v>
      </c>
      <c r="I6" s="253">
        <f t="shared" si="2"/>
        <v>155008.96012499993</v>
      </c>
      <c r="J6" s="253">
        <f t="shared" si="2"/>
        <v>139306.5034791666</v>
      </c>
      <c r="K6" s="253">
        <f t="shared" si="2"/>
        <v>123604.04683333327</v>
      </c>
      <c r="L6" s="253">
        <f t="shared" si="2"/>
        <v>107901.59018749994</v>
      </c>
      <c r="M6" s="253">
        <f t="shared" si="2"/>
        <v>92199.133541666612</v>
      </c>
      <c r="N6" s="253">
        <f t="shared" si="2"/>
        <v>76496.676895833283</v>
      </c>
      <c r="O6" s="253">
        <f t="shared" si="1"/>
        <v>0</v>
      </c>
      <c r="P6" s="256"/>
      <c r="Q6" s="4"/>
      <c r="R6" s="4"/>
      <c r="S6" s="4"/>
      <c r="T6" s="4"/>
      <c r="U6" s="4"/>
      <c r="V6" s="4"/>
      <c r="W6" s="4"/>
      <c r="X6" s="4"/>
      <c r="Y6" s="4"/>
      <c r="Z6" s="4"/>
    </row>
    <row r="7" spans="1:26">
      <c r="A7" s="4"/>
      <c r="B7" s="258"/>
      <c r="C7" s="256"/>
      <c r="D7" s="256"/>
      <c r="E7" s="256"/>
      <c r="F7" s="256"/>
      <c r="G7" s="256"/>
      <c r="H7" s="256"/>
      <c r="I7" s="256"/>
      <c r="J7" s="256"/>
      <c r="K7" s="256"/>
      <c r="L7" s="256"/>
      <c r="M7" s="256"/>
      <c r="N7" s="256"/>
      <c r="O7" s="258"/>
      <c r="P7" s="256"/>
      <c r="Q7" s="4"/>
      <c r="R7" s="4"/>
      <c r="S7" s="4"/>
      <c r="T7" s="4"/>
      <c r="U7" s="4"/>
      <c r="V7" s="4"/>
      <c r="W7" s="4"/>
      <c r="X7" s="4"/>
      <c r="Y7" s="4"/>
      <c r="Z7" s="4"/>
    </row>
    <row r="8" spans="1:26">
      <c r="A8" t="s">
        <v>301</v>
      </c>
      <c r="B8" s="258"/>
      <c r="C8" s="256"/>
      <c r="D8" s="256"/>
      <c r="E8" s="256"/>
      <c r="F8" s="256"/>
      <c r="G8" s="256"/>
      <c r="H8" s="256"/>
      <c r="I8" s="256"/>
      <c r="J8" s="256"/>
      <c r="K8" s="256"/>
      <c r="L8" s="256"/>
      <c r="M8" s="256"/>
      <c r="N8" s="256"/>
      <c r="O8" s="258"/>
      <c r="P8" s="256"/>
    </row>
    <row r="9" spans="1:26">
      <c r="A9" s="4" t="s">
        <v>422</v>
      </c>
      <c r="B9" s="258"/>
      <c r="C9" s="256"/>
      <c r="D9" s="256"/>
      <c r="E9" s="256"/>
      <c r="F9" s="256"/>
      <c r="G9" s="256"/>
      <c r="H9" s="256"/>
      <c r="I9" s="256"/>
      <c r="J9" s="256"/>
      <c r="K9" s="256"/>
      <c r="L9" s="256"/>
      <c r="M9" s="256"/>
      <c r="N9" s="256"/>
      <c r="O9" s="258"/>
      <c r="P9" s="256"/>
      <c r="Q9" s="4"/>
      <c r="R9" s="4"/>
      <c r="S9" s="4"/>
      <c r="T9" s="4"/>
      <c r="U9" s="4"/>
      <c r="V9" s="4"/>
      <c r="W9" s="4"/>
      <c r="X9" s="4"/>
      <c r="Y9" s="4"/>
      <c r="Z9" s="4"/>
    </row>
    <row r="10" spans="1:26">
      <c r="A10" s="65" t="s">
        <v>146</v>
      </c>
      <c r="B10" s="259">
        <f>'Year 1'!B8</f>
        <v>254400</v>
      </c>
      <c r="C10" s="76">
        <f t="shared" ref="C10:N10" si="3">$B$10/12</f>
        <v>21200</v>
      </c>
      <c r="D10" s="76">
        <f t="shared" si="3"/>
        <v>21200</v>
      </c>
      <c r="E10" s="76">
        <f t="shared" si="3"/>
        <v>21200</v>
      </c>
      <c r="F10" s="76">
        <f t="shared" si="3"/>
        <v>21200</v>
      </c>
      <c r="G10" s="76">
        <f t="shared" si="3"/>
        <v>21200</v>
      </c>
      <c r="H10" s="76">
        <f t="shared" si="3"/>
        <v>21200</v>
      </c>
      <c r="I10" s="76">
        <f t="shared" si="3"/>
        <v>21200</v>
      </c>
      <c r="J10" s="76">
        <f t="shared" si="3"/>
        <v>21200</v>
      </c>
      <c r="K10" s="76">
        <f t="shared" si="3"/>
        <v>21200</v>
      </c>
      <c r="L10" s="76">
        <f t="shared" si="3"/>
        <v>21200</v>
      </c>
      <c r="M10" s="76">
        <f t="shared" si="3"/>
        <v>21200</v>
      </c>
      <c r="N10" s="76">
        <f t="shared" si="3"/>
        <v>21200</v>
      </c>
      <c r="O10" s="259">
        <f t="shared" ref="O10:O17" si="4">SUM(C10:N10)</f>
        <v>254400</v>
      </c>
      <c r="P10" s="256"/>
    </row>
    <row r="11" spans="1:26">
      <c r="A11" s="65" t="s">
        <v>147</v>
      </c>
      <c r="B11" s="259">
        <f>'Year 1'!B9</f>
        <v>227500</v>
      </c>
      <c r="C11" s="76">
        <f t="shared" ref="C11:N11" si="5">$B$11/12</f>
        <v>18958.333333333332</v>
      </c>
      <c r="D11" s="76">
        <f t="shared" si="5"/>
        <v>18958.333333333332</v>
      </c>
      <c r="E11" s="76">
        <f t="shared" si="5"/>
        <v>18958.333333333332</v>
      </c>
      <c r="F11" s="76">
        <f t="shared" si="5"/>
        <v>18958.333333333332</v>
      </c>
      <c r="G11" s="76">
        <f t="shared" si="5"/>
        <v>18958.333333333332</v>
      </c>
      <c r="H11" s="76">
        <f t="shared" si="5"/>
        <v>18958.333333333332</v>
      </c>
      <c r="I11" s="76">
        <f t="shared" si="5"/>
        <v>18958.333333333332</v>
      </c>
      <c r="J11" s="76">
        <f t="shared" si="5"/>
        <v>18958.333333333332</v>
      </c>
      <c r="K11" s="76">
        <f t="shared" si="5"/>
        <v>18958.333333333332</v>
      </c>
      <c r="L11" s="76">
        <f t="shared" si="5"/>
        <v>18958.333333333332</v>
      </c>
      <c r="M11" s="76">
        <f t="shared" si="5"/>
        <v>18958.333333333332</v>
      </c>
      <c r="N11" s="76">
        <f t="shared" si="5"/>
        <v>18958.333333333332</v>
      </c>
      <c r="O11" s="259">
        <f t="shared" si="4"/>
        <v>227500.00000000003</v>
      </c>
      <c r="P11" s="256"/>
    </row>
    <row r="12" spans="1:26">
      <c r="A12" s="65" t="s">
        <v>148</v>
      </c>
      <c r="B12" s="259">
        <f>'Year 1'!B10</f>
        <v>0</v>
      </c>
      <c r="C12" s="76">
        <f t="shared" ref="C12:N12" si="6">$B$12/12</f>
        <v>0</v>
      </c>
      <c r="D12" s="76">
        <f t="shared" si="6"/>
        <v>0</v>
      </c>
      <c r="E12" s="76">
        <f t="shared" si="6"/>
        <v>0</v>
      </c>
      <c r="F12" s="76">
        <f t="shared" si="6"/>
        <v>0</v>
      </c>
      <c r="G12" s="76">
        <f t="shared" si="6"/>
        <v>0</v>
      </c>
      <c r="H12" s="76">
        <f t="shared" si="6"/>
        <v>0</v>
      </c>
      <c r="I12" s="76">
        <f t="shared" si="6"/>
        <v>0</v>
      </c>
      <c r="J12" s="76">
        <f t="shared" si="6"/>
        <v>0</v>
      </c>
      <c r="K12" s="76">
        <f t="shared" si="6"/>
        <v>0</v>
      </c>
      <c r="L12" s="76">
        <f t="shared" si="6"/>
        <v>0</v>
      </c>
      <c r="M12" s="76">
        <f t="shared" si="6"/>
        <v>0</v>
      </c>
      <c r="N12" s="76">
        <f t="shared" si="6"/>
        <v>0</v>
      </c>
      <c r="O12" s="259">
        <f t="shared" si="4"/>
        <v>0</v>
      </c>
      <c r="P12" s="256"/>
    </row>
    <row r="13" spans="1:26">
      <c r="A13" s="65" t="s">
        <v>149</v>
      </c>
      <c r="B13" s="259">
        <f>'Year 1'!B11</f>
        <v>0</v>
      </c>
      <c r="C13" s="76">
        <f t="shared" ref="C13:N13" si="7">$B$13/12</f>
        <v>0</v>
      </c>
      <c r="D13" s="76">
        <f t="shared" si="7"/>
        <v>0</v>
      </c>
      <c r="E13" s="76">
        <f t="shared" si="7"/>
        <v>0</v>
      </c>
      <c r="F13" s="76">
        <f t="shared" si="7"/>
        <v>0</v>
      </c>
      <c r="G13" s="76">
        <f t="shared" si="7"/>
        <v>0</v>
      </c>
      <c r="H13" s="76">
        <f t="shared" si="7"/>
        <v>0</v>
      </c>
      <c r="I13" s="76">
        <f t="shared" si="7"/>
        <v>0</v>
      </c>
      <c r="J13" s="76">
        <f t="shared" si="7"/>
        <v>0</v>
      </c>
      <c r="K13" s="76">
        <f t="shared" si="7"/>
        <v>0</v>
      </c>
      <c r="L13" s="76">
        <f t="shared" si="7"/>
        <v>0</v>
      </c>
      <c r="M13" s="76">
        <f t="shared" si="7"/>
        <v>0</v>
      </c>
      <c r="N13" s="76">
        <f t="shared" si="7"/>
        <v>0</v>
      </c>
      <c r="O13" s="259">
        <f t="shared" si="4"/>
        <v>0</v>
      </c>
      <c r="P13" s="256"/>
    </row>
    <row r="14" spans="1:26">
      <c r="A14" s="65" t="s">
        <v>150</v>
      </c>
      <c r="B14" s="259">
        <f>'Year 1'!B12</f>
        <v>122625</v>
      </c>
      <c r="C14" s="76">
        <f t="shared" ref="C14:N14" si="8">$B$14/12</f>
        <v>10218.75</v>
      </c>
      <c r="D14" s="76">
        <f t="shared" si="8"/>
        <v>10218.75</v>
      </c>
      <c r="E14" s="76">
        <f t="shared" si="8"/>
        <v>10218.75</v>
      </c>
      <c r="F14" s="76">
        <f t="shared" si="8"/>
        <v>10218.75</v>
      </c>
      <c r="G14" s="76">
        <f t="shared" si="8"/>
        <v>10218.75</v>
      </c>
      <c r="H14" s="76">
        <f t="shared" si="8"/>
        <v>10218.75</v>
      </c>
      <c r="I14" s="76">
        <f t="shared" si="8"/>
        <v>10218.75</v>
      </c>
      <c r="J14" s="76">
        <f t="shared" si="8"/>
        <v>10218.75</v>
      </c>
      <c r="K14" s="76">
        <f t="shared" si="8"/>
        <v>10218.75</v>
      </c>
      <c r="L14" s="76">
        <f t="shared" si="8"/>
        <v>10218.75</v>
      </c>
      <c r="M14" s="76">
        <f t="shared" si="8"/>
        <v>10218.75</v>
      </c>
      <c r="N14" s="76">
        <f t="shared" si="8"/>
        <v>10218.75</v>
      </c>
      <c r="O14" s="259">
        <f t="shared" si="4"/>
        <v>122625</v>
      </c>
      <c r="P14" s="256"/>
    </row>
    <row r="15" spans="1:26">
      <c r="A15" s="65" t="s">
        <v>151</v>
      </c>
      <c r="B15" s="259">
        <f>'Year 1'!B13</f>
        <v>86400</v>
      </c>
      <c r="C15" s="76">
        <f t="shared" ref="C15:N15" si="9">$B$15/12</f>
        <v>7200</v>
      </c>
      <c r="D15" s="76">
        <f t="shared" si="9"/>
        <v>7200</v>
      </c>
      <c r="E15" s="76">
        <f t="shared" si="9"/>
        <v>7200</v>
      </c>
      <c r="F15" s="76">
        <f t="shared" si="9"/>
        <v>7200</v>
      </c>
      <c r="G15" s="76">
        <f t="shared" si="9"/>
        <v>7200</v>
      </c>
      <c r="H15" s="76">
        <f t="shared" si="9"/>
        <v>7200</v>
      </c>
      <c r="I15" s="76">
        <f t="shared" si="9"/>
        <v>7200</v>
      </c>
      <c r="J15" s="76">
        <f t="shared" si="9"/>
        <v>7200</v>
      </c>
      <c r="K15" s="76">
        <f t="shared" si="9"/>
        <v>7200</v>
      </c>
      <c r="L15" s="76">
        <f t="shared" si="9"/>
        <v>7200</v>
      </c>
      <c r="M15" s="76">
        <f t="shared" si="9"/>
        <v>7200</v>
      </c>
      <c r="N15" s="76">
        <f t="shared" si="9"/>
        <v>7200</v>
      </c>
      <c r="O15" s="259">
        <f t="shared" si="4"/>
        <v>86400</v>
      </c>
      <c r="P15" s="256"/>
    </row>
    <row r="16" spans="1:26">
      <c r="A16" s="65" t="s">
        <v>152</v>
      </c>
      <c r="B16" s="259">
        <f>'Year 1'!B14</f>
        <v>0</v>
      </c>
      <c r="C16" s="76">
        <f t="shared" ref="C16:N16" si="10">$B$16/12</f>
        <v>0</v>
      </c>
      <c r="D16" s="76">
        <f t="shared" si="10"/>
        <v>0</v>
      </c>
      <c r="E16" s="76">
        <f t="shared" si="10"/>
        <v>0</v>
      </c>
      <c r="F16" s="76">
        <f t="shared" si="10"/>
        <v>0</v>
      </c>
      <c r="G16" s="76">
        <f t="shared" si="10"/>
        <v>0</v>
      </c>
      <c r="H16" s="76">
        <f t="shared" si="10"/>
        <v>0</v>
      </c>
      <c r="I16" s="76">
        <f t="shared" si="10"/>
        <v>0</v>
      </c>
      <c r="J16" s="76">
        <f t="shared" si="10"/>
        <v>0</v>
      </c>
      <c r="K16" s="76">
        <f t="shared" si="10"/>
        <v>0</v>
      </c>
      <c r="L16" s="76">
        <f t="shared" si="10"/>
        <v>0</v>
      </c>
      <c r="M16" s="76">
        <f t="shared" si="10"/>
        <v>0</v>
      </c>
      <c r="N16" s="76">
        <f t="shared" si="10"/>
        <v>0</v>
      </c>
      <c r="O16" s="259">
        <f t="shared" si="4"/>
        <v>0</v>
      </c>
      <c r="P16" s="256"/>
      <c r="Q16" s="4"/>
      <c r="R16" s="4"/>
      <c r="S16" s="4"/>
      <c r="T16" s="4"/>
      <c r="U16" s="4"/>
      <c r="V16" s="4"/>
      <c r="W16" s="4"/>
      <c r="X16" s="4"/>
      <c r="Y16" s="4"/>
      <c r="Z16" s="4"/>
    </row>
    <row r="17" spans="1:26">
      <c r="A17" s="65" t="s">
        <v>153</v>
      </c>
      <c r="B17" s="259">
        <f>'Year 1'!B15</f>
        <v>0</v>
      </c>
      <c r="C17" s="76">
        <f t="shared" ref="C17:N17" si="11">$B$17/12</f>
        <v>0</v>
      </c>
      <c r="D17" s="76">
        <f t="shared" si="11"/>
        <v>0</v>
      </c>
      <c r="E17" s="76">
        <f t="shared" si="11"/>
        <v>0</v>
      </c>
      <c r="F17" s="76">
        <f t="shared" si="11"/>
        <v>0</v>
      </c>
      <c r="G17" s="76">
        <f t="shared" si="11"/>
        <v>0</v>
      </c>
      <c r="H17" s="76">
        <f t="shared" si="11"/>
        <v>0</v>
      </c>
      <c r="I17" s="76">
        <f t="shared" si="11"/>
        <v>0</v>
      </c>
      <c r="J17" s="76">
        <f t="shared" si="11"/>
        <v>0</v>
      </c>
      <c r="K17" s="76">
        <f t="shared" si="11"/>
        <v>0</v>
      </c>
      <c r="L17" s="76">
        <f t="shared" si="11"/>
        <v>0</v>
      </c>
      <c r="M17" s="76">
        <f t="shared" si="11"/>
        <v>0</v>
      </c>
      <c r="N17" s="76">
        <f t="shared" si="11"/>
        <v>0</v>
      </c>
      <c r="O17" s="259">
        <f t="shared" si="4"/>
        <v>0</v>
      </c>
      <c r="P17" s="256"/>
    </row>
    <row r="18" spans="1:26">
      <c r="A18" s="65" t="s">
        <v>423</v>
      </c>
      <c r="B18" s="259"/>
      <c r="C18" s="76"/>
      <c r="D18" s="76"/>
      <c r="E18" s="76"/>
      <c r="F18" s="76"/>
      <c r="G18" s="76"/>
      <c r="H18" s="76"/>
      <c r="I18" s="76"/>
      <c r="J18" s="76"/>
      <c r="K18" s="76"/>
      <c r="L18" s="76"/>
      <c r="M18" s="76"/>
      <c r="N18" s="76"/>
      <c r="O18" s="259"/>
      <c r="P18" s="256"/>
      <c r="Q18" s="4"/>
      <c r="R18" s="4"/>
      <c r="S18" s="4"/>
      <c r="T18" s="4"/>
      <c r="U18" s="4"/>
      <c r="V18" s="4"/>
      <c r="W18" s="4"/>
      <c r="X18" s="4"/>
      <c r="Y18" s="4"/>
      <c r="Z18" s="4"/>
    </row>
    <row r="19" spans="1:26">
      <c r="A19" s="65" t="s">
        <v>424</v>
      </c>
      <c r="B19" s="259">
        <f>'Year 1'!B19</f>
        <v>3598555</v>
      </c>
      <c r="C19" s="76">
        <f t="shared" ref="C19:N19" si="12">$B$19/12</f>
        <v>299879.58333333331</v>
      </c>
      <c r="D19" s="76">
        <f t="shared" si="12"/>
        <v>299879.58333333331</v>
      </c>
      <c r="E19" s="76">
        <f t="shared" si="12"/>
        <v>299879.58333333331</v>
      </c>
      <c r="F19" s="76">
        <f t="shared" si="12"/>
        <v>299879.58333333331</v>
      </c>
      <c r="G19" s="76">
        <f t="shared" si="12"/>
        <v>299879.58333333331</v>
      </c>
      <c r="H19" s="76">
        <f t="shared" si="12"/>
        <v>299879.58333333331</v>
      </c>
      <c r="I19" s="76">
        <f t="shared" si="12"/>
        <v>299879.58333333331</v>
      </c>
      <c r="J19" s="76">
        <f t="shared" si="12"/>
        <v>299879.58333333331</v>
      </c>
      <c r="K19" s="76">
        <f t="shared" si="12"/>
        <v>299879.58333333331</v>
      </c>
      <c r="L19" s="76">
        <f t="shared" si="12"/>
        <v>299879.58333333331</v>
      </c>
      <c r="M19" s="76">
        <f t="shared" si="12"/>
        <v>299879.58333333331</v>
      </c>
      <c r="N19" s="76">
        <f t="shared" si="12"/>
        <v>299879.58333333331</v>
      </c>
      <c r="O19" s="259">
        <f t="shared" ref="O19:O21" si="13">SUM(C19:N19)</f>
        <v>3598555.0000000005</v>
      </c>
      <c r="P19" s="256"/>
    </row>
    <row r="20" spans="1:26">
      <c r="A20" s="65" t="s">
        <v>157</v>
      </c>
      <c r="B20" s="259">
        <f>'Year 1'!B20</f>
        <v>120000</v>
      </c>
      <c r="C20" s="76">
        <f t="shared" ref="C20:N20" si="14">$B$20/12</f>
        <v>10000</v>
      </c>
      <c r="D20" s="76">
        <f t="shared" si="14"/>
        <v>10000</v>
      </c>
      <c r="E20" s="76">
        <f t="shared" si="14"/>
        <v>10000</v>
      </c>
      <c r="F20" s="76">
        <f t="shared" si="14"/>
        <v>10000</v>
      </c>
      <c r="G20" s="76">
        <f t="shared" si="14"/>
        <v>10000</v>
      </c>
      <c r="H20" s="76">
        <f t="shared" si="14"/>
        <v>10000</v>
      </c>
      <c r="I20" s="76">
        <f t="shared" si="14"/>
        <v>10000</v>
      </c>
      <c r="J20" s="76">
        <f t="shared" si="14"/>
        <v>10000</v>
      </c>
      <c r="K20" s="76">
        <f t="shared" si="14"/>
        <v>10000</v>
      </c>
      <c r="L20" s="76">
        <f t="shared" si="14"/>
        <v>10000</v>
      </c>
      <c r="M20" s="76">
        <f t="shared" si="14"/>
        <v>10000</v>
      </c>
      <c r="N20" s="76">
        <f t="shared" si="14"/>
        <v>10000</v>
      </c>
      <c r="O20" s="259">
        <f t="shared" si="13"/>
        <v>120000</v>
      </c>
      <c r="P20" s="256"/>
    </row>
    <row r="21" spans="1:26">
      <c r="A21" s="65" t="s">
        <v>158</v>
      </c>
      <c r="B21" s="259">
        <f>'Year 1'!B21</f>
        <v>0</v>
      </c>
      <c r="C21" s="76">
        <f t="shared" ref="C21:N21" si="15">$B$21/12</f>
        <v>0</v>
      </c>
      <c r="D21" s="76">
        <f t="shared" si="15"/>
        <v>0</v>
      </c>
      <c r="E21" s="76">
        <f t="shared" si="15"/>
        <v>0</v>
      </c>
      <c r="F21" s="76">
        <f t="shared" si="15"/>
        <v>0</v>
      </c>
      <c r="G21" s="76">
        <f t="shared" si="15"/>
        <v>0</v>
      </c>
      <c r="H21" s="76">
        <f t="shared" si="15"/>
        <v>0</v>
      </c>
      <c r="I21" s="76">
        <f t="shared" si="15"/>
        <v>0</v>
      </c>
      <c r="J21" s="76">
        <f t="shared" si="15"/>
        <v>0</v>
      </c>
      <c r="K21" s="76">
        <f t="shared" si="15"/>
        <v>0</v>
      </c>
      <c r="L21" s="76">
        <f t="shared" si="15"/>
        <v>0</v>
      </c>
      <c r="M21" s="76">
        <f t="shared" si="15"/>
        <v>0</v>
      </c>
      <c r="N21" s="76">
        <f t="shared" si="15"/>
        <v>0</v>
      </c>
      <c r="O21" s="259">
        <f t="shared" si="13"/>
        <v>0</v>
      </c>
      <c r="P21" s="256"/>
    </row>
    <row r="22" spans="1:26">
      <c r="A22" s="4" t="s">
        <v>425</v>
      </c>
      <c r="B22" s="259"/>
      <c r="C22" s="76"/>
      <c r="D22" s="76"/>
      <c r="E22" s="76"/>
      <c r="F22" s="76"/>
      <c r="G22" s="76"/>
      <c r="H22" s="76"/>
      <c r="I22" s="76"/>
      <c r="J22" s="76"/>
      <c r="K22" s="76"/>
      <c r="L22" s="76"/>
      <c r="M22" s="76"/>
      <c r="N22" s="76"/>
      <c r="O22" s="259"/>
      <c r="P22" s="256"/>
      <c r="Q22" s="4"/>
      <c r="R22" s="4"/>
      <c r="S22" s="4"/>
      <c r="T22" s="4"/>
      <c r="U22" s="4"/>
      <c r="V22" s="4"/>
      <c r="W22" s="4"/>
      <c r="X22" s="4"/>
      <c r="Y22" s="4"/>
      <c r="Z22" s="4"/>
    </row>
    <row r="23" spans="1:26">
      <c r="A23" s="65" t="s">
        <v>161</v>
      </c>
      <c r="B23" s="259">
        <f>'Year 1'!B25</f>
        <v>0</v>
      </c>
      <c r="C23" s="76">
        <f t="shared" ref="C23:N23" si="16">$B$23/12</f>
        <v>0</v>
      </c>
      <c r="D23" s="76">
        <f t="shared" si="16"/>
        <v>0</v>
      </c>
      <c r="E23" s="76">
        <f t="shared" si="16"/>
        <v>0</v>
      </c>
      <c r="F23" s="76">
        <f t="shared" si="16"/>
        <v>0</v>
      </c>
      <c r="G23" s="76">
        <f t="shared" si="16"/>
        <v>0</v>
      </c>
      <c r="H23" s="76">
        <f t="shared" si="16"/>
        <v>0</v>
      </c>
      <c r="I23" s="76">
        <f t="shared" si="16"/>
        <v>0</v>
      </c>
      <c r="J23" s="76">
        <f t="shared" si="16"/>
        <v>0</v>
      </c>
      <c r="K23" s="76">
        <f t="shared" si="16"/>
        <v>0</v>
      </c>
      <c r="L23" s="76">
        <f t="shared" si="16"/>
        <v>0</v>
      </c>
      <c r="M23" s="76">
        <f t="shared" si="16"/>
        <v>0</v>
      </c>
      <c r="N23" s="76">
        <f t="shared" si="16"/>
        <v>0</v>
      </c>
      <c r="O23" s="259">
        <f>SUM(C23:N23)</f>
        <v>0</v>
      </c>
      <c r="P23" s="256"/>
    </row>
    <row r="24" spans="1:26">
      <c r="A24" s="252" t="s">
        <v>426</v>
      </c>
      <c r="B24" s="253">
        <f t="shared" ref="B24:O24" si="17">SUM(B9:B23)</f>
        <v>4409480</v>
      </c>
      <c r="C24" s="254">
        <f t="shared" si="17"/>
        <v>367456.66666666663</v>
      </c>
      <c r="D24" s="253">
        <f t="shared" si="17"/>
        <v>367456.66666666663</v>
      </c>
      <c r="E24" s="253">
        <f t="shared" si="17"/>
        <v>367456.66666666663</v>
      </c>
      <c r="F24" s="253">
        <f t="shared" si="17"/>
        <v>367456.66666666663</v>
      </c>
      <c r="G24" s="253">
        <f t="shared" si="17"/>
        <v>367456.66666666663</v>
      </c>
      <c r="H24" s="253">
        <f t="shared" si="17"/>
        <v>367456.66666666663</v>
      </c>
      <c r="I24" s="253">
        <f t="shared" si="17"/>
        <v>367456.66666666663</v>
      </c>
      <c r="J24" s="253">
        <f t="shared" si="17"/>
        <v>367456.66666666663</v>
      </c>
      <c r="K24" s="253">
        <f t="shared" si="17"/>
        <v>367456.66666666663</v>
      </c>
      <c r="L24" s="253">
        <f t="shared" si="17"/>
        <v>367456.66666666663</v>
      </c>
      <c r="M24" s="253">
        <f t="shared" si="17"/>
        <v>367456.66666666663</v>
      </c>
      <c r="N24" s="255">
        <f t="shared" si="17"/>
        <v>367456.66666666663</v>
      </c>
      <c r="O24" s="253">
        <f t="shared" si="17"/>
        <v>4409480</v>
      </c>
      <c r="P24" s="256"/>
    </row>
    <row r="25" spans="1:26">
      <c r="B25" s="258"/>
      <c r="C25" s="256"/>
      <c r="D25" s="256"/>
      <c r="E25" s="256"/>
      <c r="F25" s="256"/>
      <c r="G25" s="256"/>
      <c r="H25" s="256"/>
      <c r="I25" s="256"/>
      <c r="J25" s="256"/>
      <c r="K25" s="256"/>
      <c r="L25" s="256"/>
      <c r="M25" s="256"/>
      <c r="N25" s="256"/>
      <c r="O25" s="258"/>
      <c r="P25" s="256"/>
    </row>
    <row r="26" spans="1:26">
      <c r="A26" t="s">
        <v>427</v>
      </c>
      <c r="B26" s="258"/>
      <c r="C26" s="256"/>
      <c r="D26" s="256"/>
      <c r="E26" s="256"/>
      <c r="F26" s="256"/>
      <c r="G26" s="256"/>
      <c r="H26" s="256"/>
      <c r="I26" s="256"/>
      <c r="J26" s="256"/>
      <c r="K26" s="256"/>
      <c r="L26" s="256"/>
      <c r="M26" s="256"/>
      <c r="N26" s="256"/>
      <c r="O26" s="258"/>
      <c r="P26" s="256"/>
    </row>
    <row r="27" spans="1:26">
      <c r="A27" s="4" t="s">
        <v>428</v>
      </c>
      <c r="B27" s="258"/>
      <c r="C27" s="256"/>
      <c r="D27" s="256"/>
      <c r="E27" s="256"/>
      <c r="F27" s="256"/>
      <c r="G27" s="256"/>
      <c r="H27" s="256"/>
      <c r="I27" s="256"/>
      <c r="J27" s="256"/>
      <c r="K27" s="256"/>
      <c r="L27" s="256"/>
      <c r="M27" s="256"/>
      <c r="N27" s="256"/>
      <c r="O27" s="258"/>
      <c r="P27" s="256"/>
      <c r="Q27" s="4"/>
      <c r="R27" s="4"/>
      <c r="S27" s="4"/>
      <c r="T27" s="4"/>
      <c r="U27" s="4"/>
      <c r="V27" s="4"/>
      <c r="W27" s="4"/>
      <c r="X27" s="4"/>
      <c r="Y27" s="4"/>
      <c r="Z27" s="4"/>
    </row>
    <row r="28" spans="1:26">
      <c r="A28" s="65" t="s">
        <v>429</v>
      </c>
      <c r="B28" s="259">
        <f>'Year 1'!B34*(12/12)</f>
        <v>1191000</v>
      </c>
      <c r="C28" s="260"/>
      <c r="D28" s="260"/>
      <c r="E28" s="76">
        <f t="shared" ref="E28:N28" si="18">$B28/10</f>
        <v>119100</v>
      </c>
      <c r="F28" s="76">
        <f t="shared" si="18"/>
        <v>119100</v>
      </c>
      <c r="G28" s="76">
        <f t="shared" si="18"/>
        <v>119100</v>
      </c>
      <c r="H28" s="76">
        <f t="shared" si="18"/>
        <v>119100</v>
      </c>
      <c r="I28" s="76">
        <f t="shared" si="18"/>
        <v>119100</v>
      </c>
      <c r="J28" s="76">
        <f t="shared" si="18"/>
        <v>119100</v>
      </c>
      <c r="K28" s="76">
        <f t="shared" si="18"/>
        <v>119100</v>
      </c>
      <c r="L28" s="76">
        <f t="shared" si="18"/>
        <v>119100</v>
      </c>
      <c r="M28" s="76">
        <f t="shared" si="18"/>
        <v>119100</v>
      </c>
      <c r="N28" s="76">
        <f t="shared" si="18"/>
        <v>119100</v>
      </c>
      <c r="O28" s="259">
        <f t="shared" ref="O28:O30" si="19">SUM(C28:N28)</f>
        <v>1191000</v>
      </c>
      <c r="P28" s="256"/>
    </row>
    <row r="29" spans="1:26">
      <c r="A29" s="65" t="s">
        <v>430</v>
      </c>
      <c r="B29" s="259">
        <f>'Year 1'!B40</f>
        <v>367960</v>
      </c>
      <c r="C29" s="76">
        <f t="shared" ref="C29:N29" si="20">$B29/12</f>
        <v>30663.333333333332</v>
      </c>
      <c r="D29" s="76">
        <f t="shared" si="20"/>
        <v>30663.333333333332</v>
      </c>
      <c r="E29" s="76">
        <f t="shared" si="20"/>
        <v>30663.333333333332</v>
      </c>
      <c r="F29" s="76">
        <f t="shared" si="20"/>
        <v>30663.333333333332</v>
      </c>
      <c r="G29" s="76">
        <f t="shared" si="20"/>
        <v>30663.333333333332</v>
      </c>
      <c r="H29" s="76">
        <f t="shared" si="20"/>
        <v>30663.333333333332</v>
      </c>
      <c r="I29" s="76">
        <f t="shared" si="20"/>
        <v>30663.333333333332</v>
      </c>
      <c r="J29" s="76">
        <f t="shared" si="20"/>
        <v>30663.333333333332</v>
      </c>
      <c r="K29" s="76">
        <f t="shared" si="20"/>
        <v>30663.333333333332</v>
      </c>
      <c r="L29" s="76">
        <f t="shared" si="20"/>
        <v>30663.333333333332</v>
      </c>
      <c r="M29" s="76">
        <f t="shared" si="20"/>
        <v>30663.333333333332</v>
      </c>
      <c r="N29" s="76">
        <f t="shared" si="20"/>
        <v>30663.333333333332</v>
      </c>
      <c r="O29" s="259">
        <f t="shared" si="19"/>
        <v>367959.99999999994</v>
      </c>
      <c r="P29" s="256"/>
    </row>
    <row r="30" spans="1:26">
      <c r="A30" s="65" t="s">
        <v>431</v>
      </c>
      <c r="B30" s="259">
        <f>'Year 1'!B45</f>
        <v>70800</v>
      </c>
      <c r="C30" s="76">
        <f t="shared" ref="C30:N30" si="21">$B30/12</f>
        <v>5900</v>
      </c>
      <c r="D30" s="76">
        <f t="shared" si="21"/>
        <v>5900</v>
      </c>
      <c r="E30" s="76">
        <f t="shared" si="21"/>
        <v>5900</v>
      </c>
      <c r="F30" s="76">
        <f t="shared" si="21"/>
        <v>5900</v>
      </c>
      <c r="G30" s="76">
        <f t="shared" si="21"/>
        <v>5900</v>
      </c>
      <c r="H30" s="76">
        <f t="shared" si="21"/>
        <v>5900</v>
      </c>
      <c r="I30" s="76">
        <f t="shared" si="21"/>
        <v>5900</v>
      </c>
      <c r="J30" s="76">
        <f t="shared" si="21"/>
        <v>5900</v>
      </c>
      <c r="K30" s="76">
        <f t="shared" si="21"/>
        <v>5900</v>
      </c>
      <c r="L30" s="76">
        <f t="shared" si="21"/>
        <v>5900</v>
      </c>
      <c r="M30" s="76">
        <f t="shared" si="21"/>
        <v>5900</v>
      </c>
      <c r="N30" s="76">
        <f t="shared" si="21"/>
        <v>5900</v>
      </c>
      <c r="O30" s="259">
        <f t="shared" si="19"/>
        <v>70800</v>
      </c>
      <c r="P30" s="256"/>
    </row>
    <row r="31" spans="1:26">
      <c r="A31" s="4" t="s">
        <v>432</v>
      </c>
      <c r="B31" s="259"/>
      <c r="C31" s="76"/>
      <c r="D31" s="76"/>
      <c r="E31" s="76"/>
      <c r="F31" s="76"/>
      <c r="G31" s="76"/>
      <c r="H31" s="76"/>
      <c r="I31" s="76"/>
      <c r="J31" s="76"/>
      <c r="K31" s="76"/>
      <c r="L31" s="76"/>
      <c r="M31" s="76"/>
      <c r="N31" s="76"/>
      <c r="O31" s="259"/>
      <c r="P31" s="256"/>
      <c r="Q31" s="4"/>
      <c r="R31" s="4"/>
      <c r="S31" s="4"/>
      <c r="T31" s="4"/>
      <c r="U31" s="4"/>
      <c r="V31" s="4"/>
      <c r="W31" s="4"/>
      <c r="X31" s="4"/>
      <c r="Y31" s="4"/>
      <c r="Z31" s="4"/>
    </row>
    <row r="32" spans="1:26">
      <c r="A32" s="65" t="s">
        <v>181</v>
      </c>
      <c r="B32" s="259">
        <f>'Year 1'!B47</f>
        <v>328397</v>
      </c>
      <c r="C32" s="76">
        <f t="shared" ref="C32:N32" si="22">$B32/12</f>
        <v>27366.416666666668</v>
      </c>
      <c r="D32" s="76">
        <f t="shared" si="22"/>
        <v>27366.416666666668</v>
      </c>
      <c r="E32" s="76">
        <f t="shared" si="22"/>
        <v>27366.416666666668</v>
      </c>
      <c r="F32" s="76">
        <f t="shared" si="22"/>
        <v>27366.416666666668</v>
      </c>
      <c r="G32" s="76">
        <f t="shared" si="22"/>
        <v>27366.416666666668</v>
      </c>
      <c r="H32" s="76">
        <f t="shared" si="22"/>
        <v>27366.416666666668</v>
      </c>
      <c r="I32" s="76">
        <f t="shared" si="22"/>
        <v>27366.416666666668</v>
      </c>
      <c r="J32" s="76">
        <f t="shared" si="22"/>
        <v>27366.416666666668</v>
      </c>
      <c r="K32" s="76">
        <f t="shared" si="22"/>
        <v>27366.416666666668</v>
      </c>
      <c r="L32" s="76">
        <f t="shared" si="22"/>
        <v>27366.416666666668</v>
      </c>
      <c r="M32" s="76">
        <f t="shared" si="22"/>
        <v>27366.416666666668</v>
      </c>
      <c r="N32" s="76">
        <f t="shared" si="22"/>
        <v>27366.416666666668</v>
      </c>
      <c r="O32" s="259">
        <f t="shared" ref="O32:O38" si="23">SUM(C32:N32)</f>
        <v>328397</v>
      </c>
      <c r="P32" s="256"/>
    </row>
    <row r="33" spans="1:26">
      <c r="A33" s="65" t="s">
        <v>182</v>
      </c>
      <c r="B33" s="259">
        <f>'Year 1'!B48</f>
        <v>23632</v>
      </c>
      <c r="C33" s="76">
        <f t="shared" ref="C33:N33" si="24">$B33/12</f>
        <v>1969.3333333333333</v>
      </c>
      <c r="D33" s="76">
        <f t="shared" si="24"/>
        <v>1969.3333333333333</v>
      </c>
      <c r="E33" s="76">
        <f t="shared" si="24"/>
        <v>1969.3333333333333</v>
      </c>
      <c r="F33" s="76">
        <f t="shared" si="24"/>
        <v>1969.3333333333333</v>
      </c>
      <c r="G33" s="76">
        <f t="shared" si="24"/>
        <v>1969.3333333333333</v>
      </c>
      <c r="H33" s="76">
        <f t="shared" si="24"/>
        <v>1969.3333333333333</v>
      </c>
      <c r="I33" s="76">
        <f t="shared" si="24"/>
        <v>1969.3333333333333</v>
      </c>
      <c r="J33" s="76">
        <f t="shared" si="24"/>
        <v>1969.3333333333333</v>
      </c>
      <c r="K33" s="76">
        <f t="shared" si="24"/>
        <v>1969.3333333333333</v>
      </c>
      <c r="L33" s="76">
        <f t="shared" si="24"/>
        <v>1969.3333333333333</v>
      </c>
      <c r="M33" s="76">
        <f t="shared" si="24"/>
        <v>1969.3333333333333</v>
      </c>
      <c r="N33" s="76">
        <f t="shared" si="24"/>
        <v>1969.3333333333333</v>
      </c>
      <c r="O33" s="259">
        <f t="shared" si="23"/>
        <v>23631.999999999996</v>
      </c>
      <c r="P33" s="256"/>
    </row>
    <row r="34" spans="1:26">
      <c r="A34" s="65" t="s">
        <v>183</v>
      </c>
      <c r="B34" s="259">
        <f>'Year 1'!B49-Assumptions!$C$43*Assumptions!C62*2/12</f>
        <v>134680</v>
      </c>
      <c r="C34" s="76">
        <f t="shared" ref="C34:N34" si="25">$B34/12</f>
        <v>11223.333333333334</v>
      </c>
      <c r="D34" s="76">
        <f t="shared" si="25"/>
        <v>11223.333333333334</v>
      </c>
      <c r="E34" s="76">
        <f t="shared" si="25"/>
        <v>11223.333333333334</v>
      </c>
      <c r="F34" s="76">
        <f t="shared" si="25"/>
        <v>11223.333333333334</v>
      </c>
      <c r="G34" s="76">
        <f t="shared" si="25"/>
        <v>11223.333333333334</v>
      </c>
      <c r="H34" s="76">
        <f t="shared" si="25"/>
        <v>11223.333333333334</v>
      </c>
      <c r="I34" s="76">
        <f t="shared" si="25"/>
        <v>11223.333333333334</v>
      </c>
      <c r="J34" s="76">
        <f t="shared" si="25"/>
        <v>11223.333333333334</v>
      </c>
      <c r="K34" s="76">
        <f t="shared" si="25"/>
        <v>11223.333333333334</v>
      </c>
      <c r="L34" s="76">
        <f t="shared" si="25"/>
        <v>11223.333333333334</v>
      </c>
      <c r="M34" s="76">
        <f t="shared" si="25"/>
        <v>11223.333333333334</v>
      </c>
      <c r="N34" s="76">
        <f t="shared" si="25"/>
        <v>11223.333333333334</v>
      </c>
      <c r="O34" s="259">
        <f t="shared" si="23"/>
        <v>134679.99999999997</v>
      </c>
      <c r="P34" s="256"/>
    </row>
    <row r="35" spans="1:26">
      <c r="A35" s="65" t="s">
        <v>184</v>
      </c>
      <c r="B35" s="259">
        <f>'Year 1'!B50-Assumptions!$C$43*Assumptions!C63*2/12</f>
        <v>8190</v>
      </c>
      <c r="C35" s="76">
        <f t="shared" ref="C35:N35" si="26">$B35/12</f>
        <v>682.5</v>
      </c>
      <c r="D35" s="76">
        <f t="shared" si="26"/>
        <v>682.5</v>
      </c>
      <c r="E35" s="76">
        <f t="shared" si="26"/>
        <v>682.5</v>
      </c>
      <c r="F35" s="76">
        <f t="shared" si="26"/>
        <v>682.5</v>
      </c>
      <c r="G35" s="76">
        <f t="shared" si="26"/>
        <v>682.5</v>
      </c>
      <c r="H35" s="76">
        <f t="shared" si="26"/>
        <v>682.5</v>
      </c>
      <c r="I35" s="76">
        <f t="shared" si="26"/>
        <v>682.5</v>
      </c>
      <c r="J35" s="76">
        <f t="shared" si="26"/>
        <v>682.5</v>
      </c>
      <c r="K35" s="76">
        <f t="shared" si="26"/>
        <v>682.5</v>
      </c>
      <c r="L35" s="76">
        <f t="shared" si="26"/>
        <v>682.5</v>
      </c>
      <c r="M35" s="76">
        <f t="shared" si="26"/>
        <v>682.5</v>
      </c>
      <c r="N35" s="76">
        <f t="shared" si="26"/>
        <v>682.5</v>
      </c>
      <c r="O35" s="259">
        <f t="shared" si="23"/>
        <v>8190</v>
      </c>
      <c r="P35" s="256"/>
    </row>
    <row r="36" spans="1:26">
      <c r="A36" s="65" t="s">
        <v>185</v>
      </c>
      <c r="B36" s="259">
        <f>'Year 1'!B51-Assumptions!$C$43*Assumptions!C64*2/12</f>
        <v>0</v>
      </c>
      <c r="C36" s="76">
        <f t="shared" ref="C36:N36" si="27">$B36/12</f>
        <v>0</v>
      </c>
      <c r="D36" s="76">
        <f t="shared" si="27"/>
        <v>0</v>
      </c>
      <c r="E36" s="76">
        <f t="shared" si="27"/>
        <v>0</v>
      </c>
      <c r="F36" s="76">
        <f t="shared" si="27"/>
        <v>0</v>
      </c>
      <c r="G36" s="76">
        <f t="shared" si="27"/>
        <v>0</v>
      </c>
      <c r="H36" s="76">
        <f t="shared" si="27"/>
        <v>0</v>
      </c>
      <c r="I36" s="76">
        <f t="shared" si="27"/>
        <v>0</v>
      </c>
      <c r="J36" s="76">
        <f t="shared" si="27"/>
        <v>0</v>
      </c>
      <c r="K36" s="76">
        <f t="shared" si="27"/>
        <v>0</v>
      </c>
      <c r="L36" s="76">
        <f t="shared" si="27"/>
        <v>0</v>
      </c>
      <c r="M36" s="76">
        <f t="shared" si="27"/>
        <v>0</v>
      </c>
      <c r="N36" s="76">
        <f t="shared" si="27"/>
        <v>0</v>
      </c>
      <c r="O36" s="259">
        <f t="shared" si="23"/>
        <v>0</v>
      </c>
      <c r="P36" s="256"/>
    </row>
    <row r="37" spans="1:26">
      <c r="A37" s="65" t="s">
        <v>433</v>
      </c>
      <c r="B37" s="259">
        <f>'Year 1'!B52-Assumptions!$C$43*Assumptions!C65*2/12</f>
        <v>1820</v>
      </c>
      <c r="C37" s="76">
        <f t="shared" ref="C37:N37" si="28">$B37/12</f>
        <v>151.66666666666666</v>
      </c>
      <c r="D37" s="76">
        <f t="shared" si="28"/>
        <v>151.66666666666666</v>
      </c>
      <c r="E37" s="76">
        <f t="shared" si="28"/>
        <v>151.66666666666666</v>
      </c>
      <c r="F37" s="76">
        <f t="shared" si="28"/>
        <v>151.66666666666666</v>
      </c>
      <c r="G37" s="76">
        <f t="shared" si="28"/>
        <v>151.66666666666666</v>
      </c>
      <c r="H37" s="76">
        <f t="shared" si="28"/>
        <v>151.66666666666666</v>
      </c>
      <c r="I37" s="76">
        <f t="shared" si="28"/>
        <v>151.66666666666666</v>
      </c>
      <c r="J37" s="76">
        <f t="shared" si="28"/>
        <v>151.66666666666666</v>
      </c>
      <c r="K37" s="76">
        <f t="shared" si="28"/>
        <v>151.66666666666666</v>
      </c>
      <c r="L37" s="76">
        <f t="shared" si="28"/>
        <v>151.66666666666666</v>
      </c>
      <c r="M37" s="76">
        <f t="shared" si="28"/>
        <v>151.66666666666666</v>
      </c>
      <c r="N37" s="76">
        <f t="shared" si="28"/>
        <v>151.66666666666666</v>
      </c>
      <c r="O37" s="259">
        <f t="shared" si="23"/>
        <v>1820.0000000000002</v>
      </c>
      <c r="P37" s="256"/>
    </row>
    <row r="38" spans="1:26">
      <c r="A38" s="65" t="s">
        <v>434</v>
      </c>
      <c r="B38" s="259">
        <f>'Year 1'!B53-Assumptions!$C$43*Assumptions!C66*2/12</f>
        <v>0</v>
      </c>
      <c r="C38" s="76">
        <f t="shared" ref="C38:N38" si="29">$B38/12</f>
        <v>0</v>
      </c>
      <c r="D38" s="76">
        <f t="shared" si="29"/>
        <v>0</v>
      </c>
      <c r="E38" s="76">
        <f t="shared" si="29"/>
        <v>0</v>
      </c>
      <c r="F38" s="76">
        <f t="shared" si="29"/>
        <v>0</v>
      </c>
      <c r="G38" s="76">
        <f t="shared" si="29"/>
        <v>0</v>
      </c>
      <c r="H38" s="76">
        <f t="shared" si="29"/>
        <v>0</v>
      </c>
      <c r="I38" s="76">
        <f t="shared" si="29"/>
        <v>0</v>
      </c>
      <c r="J38" s="76">
        <f t="shared" si="29"/>
        <v>0</v>
      </c>
      <c r="K38" s="76">
        <f t="shared" si="29"/>
        <v>0</v>
      </c>
      <c r="L38" s="76">
        <f t="shared" si="29"/>
        <v>0</v>
      </c>
      <c r="M38" s="76">
        <f t="shared" si="29"/>
        <v>0</v>
      </c>
      <c r="N38" s="76">
        <f t="shared" si="29"/>
        <v>0</v>
      </c>
      <c r="O38" s="259">
        <f t="shared" si="23"/>
        <v>0</v>
      </c>
      <c r="P38" s="256"/>
    </row>
    <row r="39" spans="1:26">
      <c r="A39" s="65" t="s">
        <v>435</v>
      </c>
      <c r="B39" s="259"/>
      <c r="C39" s="76"/>
      <c r="D39" s="76"/>
      <c r="E39" s="76"/>
      <c r="F39" s="76"/>
      <c r="G39" s="76"/>
      <c r="H39" s="76"/>
      <c r="I39" s="76"/>
      <c r="J39" s="76"/>
      <c r="K39" s="76"/>
      <c r="L39" s="76"/>
      <c r="M39" s="76"/>
      <c r="N39" s="76"/>
      <c r="O39" s="259"/>
      <c r="P39" s="256"/>
    </row>
    <row r="40" spans="1:26">
      <c r="A40" s="65" t="s">
        <v>58</v>
      </c>
      <c r="B40" s="259">
        <f>'Year 1'!B58</f>
        <v>20755.2</v>
      </c>
      <c r="C40" s="76">
        <f t="shared" ref="C40:N40" si="30">$B40/12</f>
        <v>1729.6000000000001</v>
      </c>
      <c r="D40" s="76">
        <f t="shared" si="30"/>
        <v>1729.6000000000001</v>
      </c>
      <c r="E40" s="76">
        <f t="shared" si="30"/>
        <v>1729.6000000000001</v>
      </c>
      <c r="F40" s="76">
        <f t="shared" si="30"/>
        <v>1729.6000000000001</v>
      </c>
      <c r="G40" s="76">
        <f t="shared" si="30"/>
        <v>1729.6000000000001</v>
      </c>
      <c r="H40" s="76">
        <f t="shared" si="30"/>
        <v>1729.6000000000001</v>
      </c>
      <c r="I40" s="76">
        <f t="shared" si="30"/>
        <v>1729.6000000000001</v>
      </c>
      <c r="J40" s="76">
        <f t="shared" si="30"/>
        <v>1729.6000000000001</v>
      </c>
      <c r="K40" s="76">
        <f t="shared" si="30"/>
        <v>1729.6000000000001</v>
      </c>
      <c r="L40" s="76">
        <f t="shared" si="30"/>
        <v>1729.6000000000001</v>
      </c>
      <c r="M40" s="76">
        <f t="shared" si="30"/>
        <v>1729.6000000000001</v>
      </c>
      <c r="N40" s="76">
        <f t="shared" si="30"/>
        <v>1729.6000000000001</v>
      </c>
      <c r="O40" s="259">
        <f t="shared" ref="O40:O48" si="31">SUM(C40:N40)</f>
        <v>20755.199999999997</v>
      </c>
      <c r="P40" s="256"/>
      <c r="Q40" s="4"/>
      <c r="R40" s="4"/>
      <c r="S40" s="4"/>
      <c r="T40" s="4"/>
      <c r="U40" s="4"/>
      <c r="V40" s="4"/>
      <c r="W40" s="4"/>
      <c r="X40" s="4"/>
      <c r="Y40" s="4"/>
      <c r="Z40" s="4"/>
    </row>
    <row r="41" spans="1:26">
      <c r="A41" s="65" t="s">
        <v>59</v>
      </c>
      <c r="B41" s="259">
        <f>'Year 1'!B59</f>
        <v>1776</v>
      </c>
      <c r="C41" s="76">
        <f t="shared" ref="C41:N41" si="32">$B41/12</f>
        <v>148</v>
      </c>
      <c r="D41" s="76">
        <f t="shared" si="32"/>
        <v>148</v>
      </c>
      <c r="E41" s="76">
        <f t="shared" si="32"/>
        <v>148</v>
      </c>
      <c r="F41" s="76">
        <f t="shared" si="32"/>
        <v>148</v>
      </c>
      <c r="G41" s="76">
        <f t="shared" si="32"/>
        <v>148</v>
      </c>
      <c r="H41" s="76">
        <f t="shared" si="32"/>
        <v>148</v>
      </c>
      <c r="I41" s="76">
        <f t="shared" si="32"/>
        <v>148</v>
      </c>
      <c r="J41" s="76">
        <f t="shared" si="32"/>
        <v>148</v>
      </c>
      <c r="K41" s="76">
        <f t="shared" si="32"/>
        <v>148</v>
      </c>
      <c r="L41" s="76">
        <f t="shared" si="32"/>
        <v>148</v>
      </c>
      <c r="M41" s="76">
        <f t="shared" si="32"/>
        <v>148</v>
      </c>
      <c r="N41" s="76">
        <f t="shared" si="32"/>
        <v>148</v>
      </c>
      <c r="O41" s="259">
        <f t="shared" si="31"/>
        <v>1776</v>
      </c>
      <c r="P41" s="256"/>
      <c r="Q41" s="4"/>
      <c r="R41" s="4"/>
      <c r="S41" s="4"/>
      <c r="T41" s="4"/>
      <c r="U41" s="4"/>
      <c r="V41" s="4"/>
      <c r="W41" s="4"/>
      <c r="X41" s="4"/>
      <c r="Y41" s="4"/>
      <c r="Z41" s="4"/>
    </row>
    <row r="42" spans="1:26">
      <c r="A42" s="65" t="s">
        <v>190</v>
      </c>
      <c r="B42" s="259">
        <f>'Year 1'!B60</f>
        <v>4291.2</v>
      </c>
      <c r="C42" s="76">
        <f t="shared" ref="C42:N42" si="33">$B42/12</f>
        <v>357.59999999999997</v>
      </c>
      <c r="D42" s="76">
        <f t="shared" si="33"/>
        <v>357.59999999999997</v>
      </c>
      <c r="E42" s="76">
        <f t="shared" si="33"/>
        <v>357.59999999999997</v>
      </c>
      <c r="F42" s="76">
        <f t="shared" si="33"/>
        <v>357.59999999999997</v>
      </c>
      <c r="G42" s="76">
        <f t="shared" si="33"/>
        <v>357.59999999999997</v>
      </c>
      <c r="H42" s="76">
        <f t="shared" si="33"/>
        <v>357.59999999999997</v>
      </c>
      <c r="I42" s="76">
        <f t="shared" si="33"/>
        <v>357.59999999999997</v>
      </c>
      <c r="J42" s="76">
        <f t="shared" si="33"/>
        <v>357.59999999999997</v>
      </c>
      <c r="K42" s="76">
        <f t="shared" si="33"/>
        <v>357.59999999999997</v>
      </c>
      <c r="L42" s="76">
        <f t="shared" si="33"/>
        <v>357.59999999999997</v>
      </c>
      <c r="M42" s="76">
        <f t="shared" si="33"/>
        <v>357.59999999999997</v>
      </c>
      <c r="N42" s="76">
        <f t="shared" si="33"/>
        <v>357.59999999999997</v>
      </c>
      <c r="O42" s="259">
        <f t="shared" si="31"/>
        <v>4291.2</v>
      </c>
      <c r="P42" s="256"/>
      <c r="Q42" s="4"/>
      <c r="R42" s="4"/>
      <c r="S42" s="4"/>
      <c r="T42" s="4"/>
      <c r="U42" s="4"/>
      <c r="V42" s="4"/>
      <c r="W42" s="4"/>
      <c r="X42" s="4"/>
      <c r="Y42" s="4"/>
      <c r="Z42" s="4"/>
    </row>
    <row r="43" spans="1:26">
      <c r="A43" s="65" t="s">
        <v>61</v>
      </c>
      <c r="B43" s="259">
        <f>'Year 1'!B61</f>
        <v>6960</v>
      </c>
      <c r="C43" s="76">
        <f t="shared" ref="C43:N43" si="34">$B43/12</f>
        <v>580</v>
      </c>
      <c r="D43" s="76">
        <f t="shared" si="34"/>
        <v>580</v>
      </c>
      <c r="E43" s="76">
        <f t="shared" si="34"/>
        <v>580</v>
      </c>
      <c r="F43" s="76">
        <f t="shared" si="34"/>
        <v>580</v>
      </c>
      <c r="G43" s="76">
        <f t="shared" si="34"/>
        <v>580</v>
      </c>
      <c r="H43" s="76">
        <f t="shared" si="34"/>
        <v>580</v>
      </c>
      <c r="I43" s="76">
        <f t="shared" si="34"/>
        <v>580</v>
      </c>
      <c r="J43" s="76">
        <f t="shared" si="34"/>
        <v>580</v>
      </c>
      <c r="K43" s="76">
        <f t="shared" si="34"/>
        <v>580</v>
      </c>
      <c r="L43" s="76">
        <f t="shared" si="34"/>
        <v>580</v>
      </c>
      <c r="M43" s="76">
        <f t="shared" si="34"/>
        <v>580</v>
      </c>
      <c r="N43" s="76">
        <f t="shared" si="34"/>
        <v>580</v>
      </c>
      <c r="O43" s="259">
        <f t="shared" si="31"/>
        <v>6960</v>
      </c>
      <c r="P43" s="256"/>
      <c r="Q43" s="4"/>
      <c r="R43" s="4"/>
      <c r="S43" s="4"/>
      <c r="T43" s="4"/>
      <c r="U43" s="4"/>
      <c r="V43" s="4"/>
      <c r="W43" s="4"/>
      <c r="X43" s="4"/>
      <c r="Y43" s="4"/>
      <c r="Z43" s="4"/>
    </row>
    <row r="44" spans="1:26">
      <c r="A44" s="65" t="s">
        <v>62</v>
      </c>
      <c r="B44" s="259">
        <f>'Year 1'!B62</f>
        <v>3715.2000000000003</v>
      </c>
      <c r="C44" s="76">
        <f t="shared" ref="C44:N44" si="35">$B44/12</f>
        <v>309.60000000000002</v>
      </c>
      <c r="D44" s="76">
        <f t="shared" si="35"/>
        <v>309.60000000000002</v>
      </c>
      <c r="E44" s="76">
        <f t="shared" si="35"/>
        <v>309.60000000000002</v>
      </c>
      <c r="F44" s="76">
        <f t="shared" si="35"/>
        <v>309.60000000000002</v>
      </c>
      <c r="G44" s="76">
        <f t="shared" si="35"/>
        <v>309.60000000000002</v>
      </c>
      <c r="H44" s="76">
        <f t="shared" si="35"/>
        <v>309.60000000000002</v>
      </c>
      <c r="I44" s="76">
        <f t="shared" si="35"/>
        <v>309.60000000000002</v>
      </c>
      <c r="J44" s="76">
        <f t="shared" si="35"/>
        <v>309.60000000000002</v>
      </c>
      <c r="K44" s="76">
        <f t="shared" si="35"/>
        <v>309.60000000000002</v>
      </c>
      <c r="L44" s="76">
        <f t="shared" si="35"/>
        <v>309.60000000000002</v>
      </c>
      <c r="M44" s="76">
        <f t="shared" si="35"/>
        <v>309.60000000000002</v>
      </c>
      <c r="N44" s="76">
        <f t="shared" si="35"/>
        <v>309.60000000000002</v>
      </c>
      <c r="O44" s="259">
        <f t="shared" si="31"/>
        <v>3715.1999999999994</v>
      </c>
      <c r="P44" s="256"/>
      <c r="Q44" s="4"/>
      <c r="R44" s="4"/>
      <c r="S44" s="4"/>
      <c r="T44" s="4"/>
      <c r="U44" s="4"/>
      <c r="V44" s="4"/>
      <c r="W44" s="4"/>
      <c r="X44" s="4"/>
      <c r="Y44" s="4"/>
      <c r="Z44" s="4"/>
    </row>
    <row r="45" spans="1:26">
      <c r="A45" s="65" t="s">
        <v>63</v>
      </c>
      <c r="B45" s="259">
        <f>'Year 1'!B63</f>
        <v>249.27975000000001</v>
      </c>
      <c r="C45" s="76">
        <f t="shared" ref="C45:N45" si="36">$B45/12</f>
        <v>20.773312499999999</v>
      </c>
      <c r="D45" s="76">
        <f t="shared" si="36"/>
        <v>20.773312499999999</v>
      </c>
      <c r="E45" s="76">
        <f t="shared" si="36"/>
        <v>20.773312499999999</v>
      </c>
      <c r="F45" s="76">
        <f t="shared" si="36"/>
        <v>20.773312499999999</v>
      </c>
      <c r="G45" s="76">
        <f t="shared" si="36"/>
        <v>20.773312499999999</v>
      </c>
      <c r="H45" s="76">
        <f t="shared" si="36"/>
        <v>20.773312499999999</v>
      </c>
      <c r="I45" s="76">
        <f t="shared" si="36"/>
        <v>20.773312499999999</v>
      </c>
      <c r="J45" s="76">
        <f t="shared" si="36"/>
        <v>20.773312499999999</v>
      </c>
      <c r="K45" s="76">
        <f t="shared" si="36"/>
        <v>20.773312499999999</v>
      </c>
      <c r="L45" s="76">
        <f t="shared" si="36"/>
        <v>20.773312499999999</v>
      </c>
      <c r="M45" s="76">
        <f t="shared" si="36"/>
        <v>20.773312499999999</v>
      </c>
      <c r="N45" s="76">
        <f t="shared" si="36"/>
        <v>20.773312499999999</v>
      </c>
      <c r="O45" s="259">
        <f t="shared" si="31"/>
        <v>249.27975000000001</v>
      </c>
      <c r="P45" s="256"/>
      <c r="Q45" s="4"/>
      <c r="R45" s="4"/>
      <c r="S45" s="4"/>
      <c r="T45" s="4"/>
      <c r="U45" s="4"/>
      <c r="V45" s="4"/>
      <c r="W45" s="4"/>
      <c r="X45" s="4"/>
      <c r="Y45" s="4"/>
      <c r="Z45" s="4"/>
    </row>
    <row r="46" spans="1:26">
      <c r="A46" s="65" t="s">
        <v>65</v>
      </c>
      <c r="B46" s="259">
        <f>'Year 1'!B64</f>
        <v>0</v>
      </c>
      <c r="C46" s="76">
        <f t="shared" ref="C46:N46" si="37">$B46/12</f>
        <v>0</v>
      </c>
      <c r="D46" s="76">
        <f t="shared" si="37"/>
        <v>0</v>
      </c>
      <c r="E46" s="76">
        <f t="shared" si="37"/>
        <v>0</v>
      </c>
      <c r="F46" s="76">
        <f t="shared" si="37"/>
        <v>0</v>
      </c>
      <c r="G46" s="76">
        <f t="shared" si="37"/>
        <v>0</v>
      </c>
      <c r="H46" s="76">
        <f t="shared" si="37"/>
        <v>0</v>
      </c>
      <c r="I46" s="76">
        <f t="shared" si="37"/>
        <v>0</v>
      </c>
      <c r="J46" s="76">
        <f t="shared" si="37"/>
        <v>0</v>
      </c>
      <c r="K46" s="76">
        <f t="shared" si="37"/>
        <v>0</v>
      </c>
      <c r="L46" s="76">
        <f t="shared" si="37"/>
        <v>0</v>
      </c>
      <c r="M46" s="76">
        <f t="shared" si="37"/>
        <v>0</v>
      </c>
      <c r="N46" s="76">
        <f t="shared" si="37"/>
        <v>0</v>
      </c>
      <c r="O46" s="259">
        <f t="shared" si="31"/>
        <v>0</v>
      </c>
      <c r="P46" s="256"/>
      <c r="Q46" s="4"/>
      <c r="R46" s="4"/>
      <c r="S46" s="4"/>
      <c r="T46" s="4"/>
      <c r="U46" s="4"/>
      <c r="V46" s="4"/>
      <c r="W46" s="4"/>
      <c r="X46" s="4"/>
      <c r="Y46" s="4"/>
      <c r="Z46" s="4"/>
    </row>
    <row r="47" spans="1:26">
      <c r="A47" s="87" t="s">
        <v>192</v>
      </c>
      <c r="B47" s="259">
        <f>'Year 1'!B65</f>
        <v>0</v>
      </c>
      <c r="C47" s="76">
        <f t="shared" ref="C47:N47" si="38">$B47/12</f>
        <v>0</v>
      </c>
      <c r="D47" s="76">
        <f t="shared" si="38"/>
        <v>0</v>
      </c>
      <c r="E47" s="76">
        <f t="shared" si="38"/>
        <v>0</v>
      </c>
      <c r="F47" s="76">
        <f t="shared" si="38"/>
        <v>0</v>
      </c>
      <c r="G47" s="76">
        <f t="shared" si="38"/>
        <v>0</v>
      </c>
      <c r="H47" s="76">
        <f t="shared" si="38"/>
        <v>0</v>
      </c>
      <c r="I47" s="76">
        <f t="shared" si="38"/>
        <v>0</v>
      </c>
      <c r="J47" s="76">
        <f t="shared" si="38"/>
        <v>0</v>
      </c>
      <c r="K47" s="76">
        <f t="shared" si="38"/>
        <v>0</v>
      </c>
      <c r="L47" s="76">
        <f t="shared" si="38"/>
        <v>0</v>
      </c>
      <c r="M47" s="76">
        <f t="shared" si="38"/>
        <v>0</v>
      </c>
      <c r="N47" s="76">
        <f t="shared" si="38"/>
        <v>0</v>
      </c>
      <c r="O47" s="259">
        <f t="shared" si="31"/>
        <v>0</v>
      </c>
      <c r="P47" s="256"/>
      <c r="Q47" s="4"/>
      <c r="R47" s="4"/>
      <c r="S47" s="4"/>
      <c r="T47" s="4"/>
      <c r="U47" s="4"/>
      <c r="V47" s="4"/>
      <c r="W47" s="4"/>
      <c r="X47" s="4"/>
      <c r="Y47" s="4"/>
      <c r="Z47" s="4"/>
    </row>
    <row r="48" spans="1:26">
      <c r="A48" s="87" t="s">
        <v>49</v>
      </c>
      <c r="B48" s="259">
        <f>'Year 1'!B66</f>
        <v>150500</v>
      </c>
      <c r="C48" s="76">
        <f t="shared" ref="C48:N48" si="39">$B48/12</f>
        <v>12541.666666666666</v>
      </c>
      <c r="D48" s="76">
        <f t="shared" si="39"/>
        <v>12541.666666666666</v>
      </c>
      <c r="E48" s="76">
        <f t="shared" si="39"/>
        <v>12541.666666666666</v>
      </c>
      <c r="F48" s="76">
        <f t="shared" si="39"/>
        <v>12541.666666666666</v>
      </c>
      <c r="G48" s="76">
        <f t="shared" si="39"/>
        <v>12541.666666666666</v>
      </c>
      <c r="H48" s="76">
        <f t="shared" si="39"/>
        <v>12541.666666666666</v>
      </c>
      <c r="I48" s="76">
        <f t="shared" si="39"/>
        <v>12541.666666666666</v>
      </c>
      <c r="J48" s="76">
        <f t="shared" si="39"/>
        <v>12541.666666666666</v>
      </c>
      <c r="K48" s="76">
        <f t="shared" si="39"/>
        <v>12541.666666666666</v>
      </c>
      <c r="L48" s="76">
        <f t="shared" si="39"/>
        <v>12541.666666666666</v>
      </c>
      <c r="M48" s="76">
        <f t="shared" si="39"/>
        <v>12541.666666666666</v>
      </c>
      <c r="N48" s="76">
        <f t="shared" si="39"/>
        <v>12541.666666666666</v>
      </c>
      <c r="O48" s="259">
        <f t="shared" si="31"/>
        <v>150500</v>
      </c>
      <c r="P48" s="256"/>
      <c r="Q48" s="4"/>
      <c r="R48" s="4"/>
      <c r="S48" s="4"/>
      <c r="T48" s="4"/>
      <c r="U48" s="4"/>
      <c r="V48" s="4"/>
      <c r="W48" s="4"/>
      <c r="X48" s="4"/>
      <c r="Y48" s="4"/>
      <c r="Z48" s="4"/>
    </row>
    <row r="49" spans="1:26">
      <c r="A49" s="65" t="s">
        <v>436</v>
      </c>
      <c r="B49" s="259"/>
      <c r="C49" s="76"/>
      <c r="D49" s="76"/>
      <c r="E49" s="76"/>
      <c r="F49" s="76"/>
      <c r="G49" s="76"/>
      <c r="H49" s="76"/>
      <c r="I49" s="76"/>
      <c r="J49" s="76"/>
      <c r="K49" s="76"/>
      <c r="L49" s="76"/>
      <c r="M49" s="76"/>
      <c r="N49" s="76"/>
      <c r="O49" s="259"/>
      <c r="P49" s="256"/>
    </row>
    <row r="50" spans="1:26">
      <c r="A50" s="65" t="s">
        <v>61</v>
      </c>
      <c r="B50" s="259">
        <f>'Year 1'!B75</f>
        <v>37600</v>
      </c>
      <c r="C50" s="76">
        <f t="shared" ref="C50:N50" si="40">$B50/12</f>
        <v>3133.3333333333335</v>
      </c>
      <c r="D50" s="76">
        <f t="shared" si="40"/>
        <v>3133.3333333333335</v>
      </c>
      <c r="E50" s="76">
        <f t="shared" si="40"/>
        <v>3133.3333333333335</v>
      </c>
      <c r="F50" s="76">
        <f t="shared" si="40"/>
        <v>3133.3333333333335</v>
      </c>
      <c r="G50" s="76">
        <f t="shared" si="40"/>
        <v>3133.3333333333335</v>
      </c>
      <c r="H50" s="76">
        <f t="shared" si="40"/>
        <v>3133.3333333333335</v>
      </c>
      <c r="I50" s="76">
        <f t="shared" si="40"/>
        <v>3133.3333333333335</v>
      </c>
      <c r="J50" s="76">
        <f t="shared" si="40"/>
        <v>3133.3333333333335</v>
      </c>
      <c r="K50" s="76">
        <f t="shared" si="40"/>
        <v>3133.3333333333335</v>
      </c>
      <c r="L50" s="76">
        <f t="shared" si="40"/>
        <v>3133.3333333333335</v>
      </c>
      <c r="M50" s="76">
        <f t="shared" si="40"/>
        <v>3133.3333333333335</v>
      </c>
      <c r="N50" s="76">
        <f t="shared" si="40"/>
        <v>3133.3333333333335</v>
      </c>
      <c r="O50" s="259">
        <f t="shared" ref="O50:O58" si="41">SUM(C50:N50)</f>
        <v>37600</v>
      </c>
      <c r="P50" s="256"/>
    </row>
    <row r="51" spans="1:26">
      <c r="A51" s="65" t="s">
        <v>78</v>
      </c>
      <c r="B51" s="259">
        <f>'Year 1'!B80</f>
        <v>0</v>
      </c>
      <c r="C51" s="76">
        <f t="shared" ref="C51:N51" si="42">$B51/12</f>
        <v>0</v>
      </c>
      <c r="D51" s="76">
        <f t="shared" si="42"/>
        <v>0</v>
      </c>
      <c r="E51" s="76">
        <f t="shared" si="42"/>
        <v>0</v>
      </c>
      <c r="F51" s="76">
        <f t="shared" si="42"/>
        <v>0</v>
      </c>
      <c r="G51" s="76">
        <f t="shared" si="42"/>
        <v>0</v>
      </c>
      <c r="H51" s="76">
        <f t="shared" si="42"/>
        <v>0</v>
      </c>
      <c r="I51" s="76">
        <f t="shared" si="42"/>
        <v>0</v>
      </c>
      <c r="J51" s="76">
        <f t="shared" si="42"/>
        <v>0</v>
      </c>
      <c r="K51" s="76">
        <f t="shared" si="42"/>
        <v>0</v>
      </c>
      <c r="L51" s="76">
        <f t="shared" si="42"/>
        <v>0</v>
      </c>
      <c r="M51" s="76">
        <f t="shared" si="42"/>
        <v>0</v>
      </c>
      <c r="N51" s="76">
        <f t="shared" si="42"/>
        <v>0</v>
      </c>
      <c r="O51" s="259">
        <f t="shared" si="41"/>
        <v>0</v>
      </c>
      <c r="P51" s="256"/>
    </row>
    <row r="52" spans="1:26">
      <c r="A52" s="65" t="s">
        <v>437</v>
      </c>
      <c r="B52" s="259">
        <f>'Year 1'!B86</f>
        <v>0</v>
      </c>
      <c r="C52" s="76">
        <f t="shared" ref="C52:N52" si="43">$B52/12</f>
        <v>0</v>
      </c>
      <c r="D52" s="76">
        <f t="shared" si="43"/>
        <v>0</v>
      </c>
      <c r="E52" s="76">
        <f t="shared" si="43"/>
        <v>0</v>
      </c>
      <c r="F52" s="76">
        <f t="shared" si="43"/>
        <v>0</v>
      </c>
      <c r="G52" s="76">
        <f t="shared" si="43"/>
        <v>0</v>
      </c>
      <c r="H52" s="76">
        <f t="shared" si="43"/>
        <v>0</v>
      </c>
      <c r="I52" s="76">
        <f t="shared" si="43"/>
        <v>0</v>
      </c>
      <c r="J52" s="76">
        <f t="shared" si="43"/>
        <v>0</v>
      </c>
      <c r="K52" s="76">
        <f t="shared" si="43"/>
        <v>0</v>
      </c>
      <c r="L52" s="76">
        <f t="shared" si="43"/>
        <v>0</v>
      </c>
      <c r="M52" s="76">
        <f t="shared" si="43"/>
        <v>0</v>
      </c>
      <c r="N52" s="76">
        <f t="shared" si="43"/>
        <v>0</v>
      </c>
      <c r="O52" s="259">
        <f t="shared" si="41"/>
        <v>0</v>
      </c>
      <c r="P52" s="256"/>
    </row>
    <row r="53" spans="1:26">
      <c r="A53" s="65" t="s">
        <v>92</v>
      </c>
      <c r="B53" s="259">
        <f>'Year 1'!B92</f>
        <v>0</v>
      </c>
      <c r="C53" s="76">
        <f t="shared" ref="C53:N53" si="44">$B53/12</f>
        <v>0</v>
      </c>
      <c r="D53" s="76">
        <f t="shared" si="44"/>
        <v>0</v>
      </c>
      <c r="E53" s="76">
        <f t="shared" si="44"/>
        <v>0</v>
      </c>
      <c r="F53" s="76">
        <f t="shared" si="44"/>
        <v>0</v>
      </c>
      <c r="G53" s="76">
        <f t="shared" si="44"/>
        <v>0</v>
      </c>
      <c r="H53" s="76">
        <f t="shared" si="44"/>
        <v>0</v>
      </c>
      <c r="I53" s="76">
        <f t="shared" si="44"/>
        <v>0</v>
      </c>
      <c r="J53" s="76">
        <f t="shared" si="44"/>
        <v>0</v>
      </c>
      <c r="K53" s="76">
        <f t="shared" si="44"/>
        <v>0</v>
      </c>
      <c r="L53" s="76">
        <f t="shared" si="44"/>
        <v>0</v>
      </c>
      <c r="M53" s="76">
        <f t="shared" si="44"/>
        <v>0</v>
      </c>
      <c r="N53" s="76">
        <f t="shared" si="44"/>
        <v>0</v>
      </c>
      <c r="O53" s="259">
        <f t="shared" si="41"/>
        <v>0</v>
      </c>
      <c r="P53" s="256"/>
    </row>
    <row r="54" spans="1:26">
      <c r="A54" s="65" t="s">
        <v>97</v>
      </c>
      <c r="B54" s="259">
        <f>'Year 1'!B98</f>
        <v>0</v>
      </c>
      <c r="C54" s="76">
        <f t="shared" ref="C54:N54" si="45">$B54/12</f>
        <v>0</v>
      </c>
      <c r="D54" s="76">
        <f t="shared" si="45"/>
        <v>0</v>
      </c>
      <c r="E54" s="76">
        <f t="shared" si="45"/>
        <v>0</v>
      </c>
      <c r="F54" s="76">
        <f t="shared" si="45"/>
        <v>0</v>
      </c>
      <c r="G54" s="76">
        <f t="shared" si="45"/>
        <v>0</v>
      </c>
      <c r="H54" s="76">
        <f t="shared" si="45"/>
        <v>0</v>
      </c>
      <c r="I54" s="76">
        <f t="shared" si="45"/>
        <v>0</v>
      </c>
      <c r="J54" s="76">
        <f t="shared" si="45"/>
        <v>0</v>
      </c>
      <c r="K54" s="76">
        <f t="shared" si="45"/>
        <v>0</v>
      </c>
      <c r="L54" s="76">
        <f t="shared" si="45"/>
        <v>0</v>
      </c>
      <c r="M54" s="76">
        <f t="shared" si="45"/>
        <v>0</v>
      </c>
      <c r="N54" s="76">
        <f t="shared" si="45"/>
        <v>0</v>
      </c>
      <c r="O54" s="259">
        <f t="shared" si="41"/>
        <v>0</v>
      </c>
      <c r="P54" s="256"/>
    </row>
    <row r="55" spans="1:26">
      <c r="A55" s="65" t="s">
        <v>103</v>
      </c>
      <c r="B55" s="259">
        <f>'Year 1'!B106</f>
        <v>0</v>
      </c>
      <c r="C55" s="76">
        <f t="shared" ref="C55:N55" si="46">$B55/12</f>
        <v>0</v>
      </c>
      <c r="D55" s="76">
        <f t="shared" si="46"/>
        <v>0</v>
      </c>
      <c r="E55" s="76">
        <f t="shared" si="46"/>
        <v>0</v>
      </c>
      <c r="F55" s="76">
        <f t="shared" si="46"/>
        <v>0</v>
      </c>
      <c r="G55" s="76">
        <f t="shared" si="46"/>
        <v>0</v>
      </c>
      <c r="H55" s="76">
        <f t="shared" si="46"/>
        <v>0</v>
      </c>
      <c r="I55" s="76">
        <f t="shared" si="46"/>
        <v>0</v>
      </c>
      <c r="J55" s="76">
        <f t="shared" si="46"/>
        <v>0</v>
      </c>
      <c r="K55" s="76">
        <f t="shared" si="46"/>
        <v>0</v>
      </c>
      <c r="L55" s="76">
        <f t="shared" si="46"/>
        <v>0</v>
      </c>
      <c r="M55" s="76">
        <f t="shared" si="46"/>
        <v>0</v>
      </c>
      <c r="N55" s="76">
        <f t="shared" si="46"/>
        <v>0</v>
      </c>
      <c r="O55" s="259">
        <f t="shared" si="41"/>
        <v>0</v>
      </c>
      <c r="P55" s="256"/>
    </row>
    <row r="56" spans="1:26">
      <c r="A56" s="65" t="s">
        <v>110</v>
      </c>
      <c r="B56" s="259">
        <f>'Year 1'!B112</f>
        <v>0</v>
      </c>
      <c r="C56" s="76">
        <f t="shared" ref="C56:N56" si="47">$B56/12</f>
        <v>0</v>
      </c>
      <c r="D56" s="76">
        <f t="shared" si="47"/>
        <v>0</v>
      </c>
      <c r="E56" s="76">
        <f t="shared" si="47"/>
        <v>0</v>
      </c>
      <c r="F56" s="76">
        <f t="shared" si="47"/>
        <v>0</v>
      </c>
      <c r="G56" s="76">
        <f t="shared" si="47"/>
        <v>0</v>
      </c>
      <c r="H56" s="76">
        <f t="shared" si="47"/>
        <v>0</v>
      </c>
      <c r="I56" s="76">
        <f t="shared" si="47"/>
        <v>0</v>
      </c>
      <c r="J56" s="76">
        <f t="shared" si="47"/>
        <v>0</v>
      </c>
      <c r="K56" s="76">
        <f t="shared" si="47"/>
        <v>0</v>
      </c>
      <c r="L56" s="76">
        <f t="shared" si="47"/>
        <v>0</v>
      </c>
      <c r="M56" s="76">
        <f t="shared" si="47"/>
        <v>0</v>
      </c>
      <c r="N56" s="76">
        <f t="shared" si="47"/>
        <v>0</v>
      </c>
      <c r="O56" s="259">
        <f t="shared" si="41"/>
        <v>0</v>
      </c>
      <c r="P56" s="256"/>
    </row>
    <row r="57" spans="1:26">
      <c r="A57" s="65" t="s">
        <v>117</v>
      </c>
      <c r="B57" s="259">
        <f>'Year 1'!B130</f>
        <v>0</v>
      </c>
      <c r="C57" s="76">
        <f t="shared" ref="C57:N57" si="48">$B57/12</f>
        <v>0</v>
      </c>
      <c r="D57" s="76">
        <f t="shared" si="48"/>
        <v>0</v>
      </c>
      <c r="E57" s="76">
        <f t="shared" si="48"/>
        <v>0</v>
      </c>
      <c r="F57" s="76">
        <f t="shared" si="48"/>
        <v>0</v>
      </c>
      <c r="G57" s="76">
        <f t="shared" si="48"/>
        <v>0</v>
      </c>
      <c r="H57" s="76">
        <f t="shared" si="48"/>
        <v>0</v>
      </c>
      <c r="I57" s="76">
        <f t="shared" si="48"/>
        <v>0</v>
      </c>
      <c r="J57" s="76">
        <f t="shared" si="48"/>
        <v>0</v>
      </c>
      <c r="K57" s="76">
        <f t="shared" si="48"/>
        <v>0</v>
      </c>
      <c r="L57" s="76">
        <f t="shared" si="48"/>
        <v>0</v>
      </c>
      <c r="M57" s="76">
        <f t="shared" si="48"/>
        <v>0</v>
      </c>
      <c r="N57" s="76">
        <f t="shared" si="48"/>
        <v>0</v>
      </c>
      <c r="O57" s="259">
        <f t="shared" si="41"/>
        <v>0</v>
      </c>
      <c r="P57" s="256"/>
      <c r="Q57" s="4"/>
      <c r="R57" s="4"/>
      <c r="S57" s="4"/>
      <c r="T57" s="4"/>
      <c r="U57" s="4"/>
      <c r="V57" s="4"/>
      <c r="W57" s="4"/>
      <c r="X57" s="4"/>
      <c r="Y57" s="4"/>
      <c r="Z57" s="4"/>
    </row>
    <row r="58" spans="1:26">
      <c r="A58" s="65" t="s">
        <v>438</v>
      </c>
      <c r="B58" s="259">
        <f>'Year 1'!B135</f>
        <v>0</v>
      </c>
      <c r="C58" s="76">
        <f t="shared" ref="C58:N58" si="49">$B58/12</f>
        <v>0</v>
      </c>
      <c r="D58" s="76">
        <f t="shared" si="49"/>
        <v>0</v>
      </c>
      <c r="E58" s="76">
        <f t="shared" si="49"/>
        <v>0</v>
      </c>
      <c r="F58" s="76">
        <f t="shared" si="49"/>
        <v>0</v>
      </c>
      <c r="G58" s="76">
        <f t="shared" si="49"/>
        <v>0</v>
      </c>
      <c r="H58" s="76">
        <f t="shared" si="49"/>
        <v>0</v>
      </c>
      <c r="I58" s="76">
        <f t="shared" si="49"/>
        <v>0</v>
      </c>
      <c r="J58" s="76">
        <f t="shared" si="49"/>
        <v>0</v>
      </c>
      <c r="K58" s="76">
        <f t="shared" si="49"/>
        <v>0</v>
      </c>
      <c r="L58" s="76">
        <f t="shared" si="49"/>
        <v>0</v>
      </c>
      <c r="M58" s="76">
        <f t="shared" si="49"/>
        <v>0</v>
      </c>
      <c r="N58" s="76">
        <f t="shared" si="49"/>
        <v>0</v>
      </c>
      <c r="O58" s="259">
        <f t="shared" si="41"/>
        <v>0</v>
      </c>
      <c r="P58" s="256"/>
    </row>
    <row r="59" spans="1:26">
      <c r="A59" s="65" t="s">
        <v>439</v>
      </c>
      <c r="B59" s="259"/>
      <c r="C59" s="76"/>
      <c r="D59" s="76"/>
      <c r="E59" s="76"/>
      <c r="F59" s="76"/>
      <c r="G59" s="76"/>
      <c r="H59" s="76"/>
      <c r="I59" s="76"/>
      <c r="J59" s="76"/>
      <c r="K59" s="76"/>
      <c r="L59" s="76"/>
      <c r="M59" s="76"/>
      <c r="N59" s="76"/>
      <c r="O59" s="259"/>
      <c r="P59" s="256"/>
    </row>
    <row r="60" spans="1:26">
      <c r="A60" s="65" t="str">
        <f>'Year 1'!A138</f>
        <v>Fire/Security</v>
      </c>
      <c r="B60" s="259">
        <f>'Year 1'!B138</f>
        <v>5500</v>
      </c>
      <c r="C60" s="76">
        <f t="shared" ref="C60:N60" si="50">$B60/12</f>
        <v>458.33333333333331</v>
      </c>
      <c r="D60" s="76">
        <f t="shared" si="50"/>
        <v>458.33333333333331</v>
      </c>
      <c r="E60" s="76">
        <f t="shared" si="50"/>
        <v>458.33333333333331</v>
      </c>
      <c r="F60" s="76">
        <f t="shared" si="50"/>
        <v>458.33333333333331</v>
      </c>
      <c r="G60" s="76">
        <f t="shared" si="50"/>
        <v>458.33333333333331</v>
      </c>
      <c r="H60" s="76">
        <f t="shared" si="50"/>
        <v>458.33333333333331</v>
      </c>
      <c r="I60" s="76">
        <f t="shared" si="50"/>
        <v>458.33333333333331</v>
      </c>
      <c r="J60" s="76">
        <f t="shared" si="50"/>
        <v>458.33333333333331</v>
      </c>
      <c r="K60" s="76">
        <f t="shared" si="50"/>
        <v>458.33333333333331</v>
      </c>
      <c r="L60" s="76">
        <f t="shared" si="50"/>
        <v>458.33333333333331</v>
      </c>
      <c r="M60" s="76">
        <f t="shared" si="50"/>
        <v>458.33333333333331</v>
      </c>
      <c r="N60" s="76">
        <f t="shared" si="50"/>
        <v>458.33333333333331</v>
      </c>
      <c r="O60" s="259">
        <f t="shared" ref="O60:O87" si="51">SUM(C60:N60)</f>
        <v>5499.9999999999991</v>
      </c>
      <c r="P60" s="256"/>
    </row>
    <row r="61" spans="1:26">
      <c r="A61" s="65" t="str">
        <f>'Year 1'!A139</f>
        <v>Water/Sewer</v>
      </c>
      <c r="B61" s="259">
        <f>'Year 1'!B139</f>
        <v>15000</v>
      </c>
      <c r="C61" s="76">
        <f t="shared" ref="C61:N61" si="52">$B61/12</f>
        <v>1250</v>
      </c>
      <c r="D61" s="76">
        <f t="shared" si="52"/>
        <v>1250</v>
      </c>
      <c r="E61" s="76">
        <f t="shared" si="52"/>
        <v>1250</v>
      </c>
      <c r="F61" s="76">
        <f t="shared" si="52"/>
        <v>1250</v>
      </c>
      <c r="G61" s="76">
        <f t="shared" si="52"/>
        <v>1250</v>
      </c>
      <c r="H61" s="76">
        <f t="shared" si="52"/>
        <v>1250</v>
      </c>
      <c r="I61" s="76">
        <f t="shared" si="52"/>
        <v>1250</v>
      </c>
      <c r="J61" s="76">
        <f t="shared" si="52"/>
        <v>1250</v>
      </c>
      <c r="K61" s="76">
        <f t="shared" si="52"/>
        <v>1250</v>
      </c>
      <c r="L61" s="76">
        <f t="shared" si="52"/>
        <v>1250</v>
      </c>
      <c r="M61" s="76">
        <f t="shared" si="52"/>
        <v>1250</v>
      </c>
      <c r="N61" s="76">
        <f t="shared" si="52"/>
        <v>1250</v>
      </c>
      <c r="O61" s="259">
        <f t="shared" si="51"/>
        <v>15000</v>
      </c>
      <c r="P61" s="256"/>
    </row>
    <row r="62" spans="1:26">
      <c r="A62" s="65" t="str">
        <f>'Year 1'!A140</f>
        <v>Snow/Removal</v>
      </c>
      <c r="B62" s="259">
        <f>'Year 1'!B140</f>
        <v>15000</v>
      </c>
      <c r="C62" s="76">
        <f t="shared" ref="C62:N62" si="53">$B62/12</f>
        <v>1250</v>
      </c>
      <c r="D62" s="76">
        <f t="shared" si="53"/>
        <v>1250</v>
      </c>
      <c r="E62" s="76">
        <f t="shared" si="53"/>
        <v>1250</v>
      </c>
      <c r="F62" s="76">
        <f t="shared" si="53"/>
        <v>1250</v>
      </c>
      <c r="G62" s="76">
        <f t="shared" si="53"/>
        <v>1250</v>
      </c>
      <c r="H62" s="76">
        <f t="shared" si="53"/>
        <v>1250</v>
      </c>
      <c r="I62" s="76">
        <f t="shared" si="53"/>
        <v>1250</v>
      </c>
      <c r="J62" s="76">
        <f t="shared" si="53"/>
        <v>1250</v>
      </c>
      <c r="K62" s="76">
        <f t="shared" si="53"/>
        <v>1250</v>
      </c>
      <c r="L62" s="76">
        <f t="shared" si="53"/>
        <v>1250</v>
      </c>
      <c r="M62" s="76">
        <f t="shared" si="53"/>
        <v>1250</v>
      </c>
      <c r="N62" s="76">
        <f t="shared" si="53"/>
        <v>1250</v>
      </c>
      <c r="O62" s="259">
        <f t="shared" si="51"/>
        <v>15000</v>
      </c>
      <c r="P62" s="256"/>
    </row>
    <row r="63" spans="1:26">
      <c r="A63" s="65" t="str">
        <f>'Year 1'!A141</f>
        <v>Natural Gas</v>
      </c>
      <c r="B63" s="259">
        <f>'Year 1'!B141</f>
        <v>15000</v>
      </c>
      <c r="C63" s="76">
        <f t="shared" ref="C63:N63" si="54">$B63/12</f>
        <v>1250</v>
      </c>
      <c r="D63" s="76">
        <f t="shared" si="54"/>
        <v>1250</v>
      </c>
      <c r="E63" s="76">
        <f t="shared" si="54"/>
        <v>1250</v>
      </c>
      <c r="F63" s="76">
        <f t="shared" si="54"/>
        <v>1250</v>
      </c>
      <c r="G63" s="76">
        <f t="shared" si="54"/>
        <v>1250</v>
      </c>
      <c r="H63" s="76">
        <f t="shared" si="54"/>
        <v>1250</v>
      </c>
      <c r="I63" s="76">
        <f t="shared" si="54"/>
        <v>1250</v>
      </c>
      <c r="J63" s="76">
        <f t="shared" si="54"/>
        <v>1250</v>
      </c>
      <c r="K63" s="76">
        <f t="shared" si="54"/>
        <v>1250</v>
      </c>
      <c r="L63" s="76">
        <f t="shared" si="54"/>
        <v>1250</v>
      </c>
      <c r="M63" s="76">
        <f t="shared" si="54"/>
        <v>1250</v>
      </c>
      <c r="N63" s="76">
        <f t="shared" si="54"/>
        <v>1250</v>
      </c>
      <c r="O63" s="259">
        <f t="shared" si="51"/>
        <v>15000</v>
      </c>
      <c r="P63" s="256"/>
    </row>
    <row r="64" spans="1:26">
      <c r="A64" s="65" t="str">
        <f>'Year 1'!A142</f>
        <v>Electricity</v>
      </c>
      <c r="B64" s="259">
        <f>'Year 1'!B142</f>
        <v>90000</v>
      </c>
      <c r="C64" s="76">
        <f t="shared" ref="C64:N64" si="55">$B64/12</f>
        <v>7500</v>
      </c>
      <c r="D64" s="76">
        <f t="shared" si="55"/>
        <v>7500</v>
      </c>
      <c r="E64" s="76">
        <f t="shared" si="55"/>
        <v>7500</v>
      </c>
      <c r="F64" s="76">
        <f t="shared" si="55"/>
        <v>7500</v>
      </c>
      <c r="G64" s="76">
        <f t="shared" si="55"/>
        <v>7500</v>
      </c>
      <c r="H64" s="76">
        <f t="shared" si="55"/>
        <v>7500</v>
      </c>
      <c r="I64" s="76">
        <f t="shared" si="55"/>
        <v>7500</v>
      </c>
      <c r="J64" s="76">
        <f t="shared" si="55"/>
        <v>7500</v>
      </c>
      <c r="K64" s="76">
        <f t="shared" si="55"/>
        <v>7500</v>
      </c>
      <c r="L64" s="76">
        <f t="shared" si="55"/>
        <v>7500</v>
      </c>
      <c r="M64" s="76">
        <f t="shared" si="55"/>
        <v>7500</v>
      </c>
      <c r="N64" s="76">
        <f t="shared" si="55"/>
        <v>7500</v>
      </c>
      <c r="O64" s="259">
        <f t="shared" si="51"/>
        <v>90000</v>
      </c>
      <c r="P64" s="256"/>
    </row>
    <row r="65" spans="1:26">
      <c r="A65" s="65" t="str">
        <f>'Year 1'!A143</f>
        <v>Lawn Care</v>
      </c>
      <c r="B65" s="259">
        <f>'Year 1'!B143</f>
        <v>2500</v>
      </c>
      <c r="C65" s="76">
        <f t="shared" ref="C65:N65" si="56">$B65/12</f>
        <v>208.33333333333334</v>
      </c>
      <c r="D65" s="76">
        <f t="shared" si="56"/>
        <v>208.33333333333334</v>
      </c>
      <c r="E65" s="76">
        <f t="shared" si="56"/>
        <v>208.33333333333334</v>
      </c>
      <c r="F65" s="76">
        <f t="shared" si="56"/>
        <v>208.33333333333334</v>
      </c>
      <c r="G65" s="76">
        <f t="shared" si="56"/>
        <v>208.33333333333334</v>
      </c>
      <c r="H65" s="76">
        <f t="shared" si="56"/>
        <v>208.33333333333334</v>
      </c>
      <c r="I65" s="76">
        <f t="shared" si="56"/>
        <v>208.33333333333334</v>
      </c>
      <c r="J65" s="76">
        <f t="shared" si="56"/>
        <v>208.33333333333334</v>
      </c>
      <c r="K65" s="76">
        <f t="shared" si="56"/>
        <v>208.33333333333334</v>
      </c>
      <c r="L65" s="76">
        <f t="shared" si="56"/>
        <v>208.33333333333334</v>
      </c>
      <c r="M65" s="76">
        <f t="shared" si="56"/>
        <v>208.33333333333334</v>
      </c>
      <c r="N65" s="76">
        <f t="shared" si="56"/>
        <v>208.33333333333334</v>
      </c>
      <c r="O65" s="259">
        <f t="shared" si="51"/>
        <v>2500</v>
      </c>
      <c r="P65" s="256"/>
    </row>
    <row r="66" spans="1:26">
      <c r="A66" s="65" t="str">
        <f>'Year 1'!A144</f>
        <v>Trash</v>
      </c>
      <c r="B66" s="259">
        <f>'Year 1'!B144</f>
        <v>6000</v>
      </c>
      <c r="C66" s="76">
        <f t="shared" ref="C66:N66" si="57">$B66/12</f>
        <v>500</v>
      </c>
      <c r="D66" s="76">
        <f t="shared" si="57"/>
        <v>500</v>
      </c>
      <c r="E66" s="76">
        <f t="shared" si="57"/>
        <v>500</v>
      </c>
      <c r="F66" s="76">
        <f t="shared" si="57"/>
        <v>500</v>
      </c>
      <c r="G66" s="76">
        <f t="shared" si="57"/>
        <v>500</v>
      </c>
      <c r="H66" s="76">
        <f t="shared" si="57"/>
        <v>500</v>
      </c>
      <c r="I66" s="76">
        <f t="shared" si="57"/>
        <v>500</v>
      </c>
      <c r="J66" s="76">
        <f t="shared" si="57"/>
        <v>500</v>
      </c>
      <c r="K66" s="76">
        <f t="shared" si="57"/>
        <v>500</v>
      </c>
      <c r="L66" s="76">
        <f t="shared" si="57"/>
        <v>500</v>
      </c>
      <c r="M66" s="76">
        <f t="shared" si="57"/>
        <v>500</v>
      </c>
      <c r="N66" s="76">
        <f t="shared" si="57"/>
        <v>500</v>
      </c>
      <c r="O66" s="259">
        <f t="shared" si="51"/>
        <v>6000</v>
      </c>
      <c r="P66" s="256"/>
    </row>
    <row r="67" spans="1:26">
      <c r="A67" s="65" t="str">
        <f>'Year 1'!A145</f>
        <v>Custodial</v>
      </c>
      <c r="B67" s="259">
        <f>'Year 1'!B145</f>
        <v>80000</v>
      </c>
      <c r="C67" s="76">
        <f t="shared" ref="C67:N67" si="58">$B67/12</f>
        <v>6666.666666666667</v>
      </c>
      <c r="D67" s="76">
        <f t="shared" si="58"/>
        <v>6666.666666666667</v>
      </c>
      <c r="E67" s="76">
        <f t="shared" si="58"/>
        <v>6666.666666666667</v>
      </c>
      <c r="F67" s="76">
        <f t="shared" si="58"/>
        <v>6666.666666666667</v>
      </c>
      <c r="G67" s="76">
        <f t="shared" si="58"/>
        <v>6666.666666666667</v>
      </c>
      <c r="H67" s="76">
        <f t="shared" si="58"/>
        <v>6666.666666666667</v>
      </c>
      <c r="I67" s="76">
        <f t="shared" si="58"/>
        <v>6666.666666666667</v>
      </c>
      <c r="J67" s="76">
        <f t="shared" si="58"/>
        <v>6666.666666666667</v>
      </c>
      <c r="K67" s="76">
        <f t="shared" si="58"/>
        <v>6666.666666666667</v>
      </c>
      <c r="L67" s="76">
        <f t="shared" si="58"/>
        <v>6666.666666666667</v>
      </c>
      <c r="M67" s="76">
        <f t="shared" si="58"/>
        <v>6666.666666666667</v>
      </c>
      <c r="N67" s="76">
        <f t="shared" si="58"/>
        <v>6666.666666666667</v>
      </c>
      <c r="O67" s="259">
        <f t="shared" si="51"/>
        <v>80000</v>
      </c>
      <c r="P67" s="256"/>
    </row>
    <row r="68" spans="1:26">
      <c r="A68" s="65" t="str">
        <f>'Year 1'!A146</f>
        <v>Facility Lease</v>
      </c>
      <c r="B68" s="259">
        <f>'Year 1'!B146</f>
        <v>1215000</v>
      </c>
      <c r="C68" s="76">
        <f t="shared" ref="C68:N68" si="59">$B68/12</f>
        <v>101250</v>
      </c>
      <c r="D68" s="76">
        <f t="shared" si="59"/>
        <v>101250</v>
      </c>
      <c r="E68" s="76">
        <f t="shared" si="59"/>
        <v>101250</v>
      </c>
      <c r="F68" s="76">
        <f t="shared" si="59"/>
        <v>101250</v>
      </c>
      <c r="G68" s="76">
        <f t="shared" si="59"/>
        <v>101250</v>
      </c>
      <c r="H68" s="76">
        <f t="shared" si="59"/>
        <v>101250</v>
      </c>
      <c r="I68" s="76">
        <f t="shared" si="59"/>
        <v>101250</v>
      </c>
      <c r="J68" s="76">
        <f t="shared" si="59"/>
        <v>101250</v>
      </c>
      <c r="K68" s="76">
        <f t="shared" si="59"/>
        <v>101250</v>
      </c>
      <c r="L68" s="76">
        <f t="shared" si="59"/>
        <v>101250</v>
      </c>
      <c r="M68" s="76">
        <f t="shared" si="59"/>
        <v>101250</v>
      </c>
      <c r="N68" s="76">
        <f t="shared" si="59"/>
        <v>101250</v>
      </c>
      <c r="O68" s="259">
        <f t="shared" si="51"/>
        <v>1215000</v>
      </c>
      <c r="P68" s="256"/>
      <c r="Q68" s="4"/>
      <c r="R68" s="4"/>
      <c r="S68" s="4"/>
      <c r="T68" s="4"/>
      <c r="U68" s="4"/>
      <c r="V68" s="4"/>
      <c r="W68" s="4"/>
      <c r="X68" s="4"/>
      <c r="Y68" s="4"/>
      <c r="Z68" s="4"/>
    </row>
    <row r="69" spans="1:26">
      <c r="A69" s="65" t="str">
        <f>'Year 1'!A147</f>
        <v>Rental of Land and Building</v>
      </c>
      <c r="B69" s="259">
        <f>'Year 1'!B147</f>
        <v>0</v>
      </c>
      <c r="C69" s="76">
        <f t="shared" ref="C69:N69" si="60">$B69/12</f>
        <v>0</v>
      </c>
      <c r="D69" s="76">
        <f t="shared" si="60"/>
        <v>0</v>
      </c>
      <c r="E69" s="76">
        <f t="shared" si="60"/>
        <v>0</v>
      </c>
      <c r="F69" s="76">
        <f t="shared" si="60"/>
        <v>0</v>
      </c>
      <c r="G69" s="76">
        <f t="shared" si="60"/>
        <v>0</v>
      </c>
      <c r="H69" s="76">
        <f t="shared" si="60"/>
        <v>0</v>
      </c>
      <c r="I69" s="76">
        <f t="shared" si="60"/>
        <v>0</v>
      </c>
      <c r="J69" s="76">
        <f t="shared" si="60"/>
        <v>0</v>
      </c>
      <c r="K69" s="76">
        <f t="shared" si="60"/>
        <v>0</v>
      </c>
      <c r="L69" s="76">
        <f t="shared" si="60"/>
        <v>0</v>
      </c>
      <c r="M69" s="76">
        <f t="shared" si="60"/>
        <v>0</v>
      </c>
      <c r="N69" s="76">
        <f t="shared" si="60"/>
        <v>0</v>
      </c>
      <c r="O69" s="259">
        <f t="shared" si="51"/>
        <v>0</v>
      </c>
      <c r="P69" s="256"/>
    </row>
    <row r="70" spans="1:26">
      <c r="A70" s="65" t="str">
        <f>'Year 1'!A148</f>
        <v>Rental of Equipment</v>
      </c>
      <c r="B70" s="259">
        <f>'Year 1'!B148</f>
        <v>0</v>
      </c>
      <c r="C70" s="76">
        <f t="shared" ref="C70:N70" si="61">$B70/12</f>
        <v>0</v>
      </c>
      <c r="D70" s="76">
        <f t="shared" si="61"/>
        <v>0</v>
      </c>
      <c r="E70" s="76">
        <f t="shared" si="61"/>
        <v>0</v>
      </c>
      <c r="F70" s="76">
        <f t="shared" si="61"/>
        <v>0</v>
      </c>
      <c r="G70" s="76">
        <f t="shared" si="61"/>
        <v>0</v>
      </c>
      <c r="H70" s="76">
        <f t="shared" si="61"/>
        <v>0</v>
      </c>
      <c r="I70" s="76">
        <f t="shared" si="61"/>
        <v>0</v>
      </c>
      <c r="J70" s="76">
        <f t="shared" si="61"/>
        <v>0</v>
      </c>
      <c r="K70" s="76">
        <f t="shared" si="61"/>
        <v>0</v>
      </c>
      <c r="L70" s="76">
        <f t="shared" si="61"/>
        <v>0</v>
      </c>
      <c r="M70" s="76">
        <f t="shared" si="61"/>
        <v>0</v>
      </c>
      <c r="N70" s="76">
        <f t="shared" si="61"/>
        <v>0</v>
      </c>
      <c r="O70" s="259">
        <f t="shared" si="51"/>
        <v>0</v>
      </c>
      <c r="P70" s="256"/>
    </row>
    <row r="71" spans="1:26">
      <c r="A71" s="65" t="str">
        <f>'Year 1'!A149</f>
        <v>Repairs and Maintenance</v>
      </c>
      <c r="B71" s="259">
        <f>'Year 1'!B149</f>
        <v>30000</v>
      </c>
      <c r="C71" s="76">
        <f t="shared" ref="C71:N71" si="62">$B71/12</f>
        <v>2500</v>
      </c>
      <c r="D71" s="76">
        <f t="shared" si="62"/>
        <v>2500</v>
      </c>
      <c r="E71" s="76">
        <f t="shared" si="62"/>
        <v>2500</v>
      </c>
      <c r="F71" s="76">
        <f t="shared" si="62"/>
        <v>2500</v>
      </c>
      <c r="G71" s="76">
        <f t="shared" si="62"/>
        <v>2500</v>
      </c>
      <c r="H71" s="76">
        <f t="shared" si="62"/>
        <v>2500</v>
      </c>
      <c r="I71" s="76">
        <f t="shared" si="62"/>
        <v>2500</v>
      </c>
      <c r="J71" s="76">
        <f t="shared" si="62"/>
        <v>2500</v>
      </c>
      <c r="K71" s="76">
        <f t="shared" si="62"/>
        <v>2500</v>
      </c>
      <c r="L71" s="76">
        <f t="shared" si="62"/>
        <v>2500</v>
      </c>
      <c r="M71" s="76">
        <f t="shared" si="62"/>
        <v>2500</v>
      </c>
      <c r="N71" s="76">
        <f t="shared" si="62"/>
        <v>2500</v>
      </c>
      <c r="O71" s="259">
        <f t="shared" si="51"/>
        <v>30000</v>
      </c>
      <c r="P71" s="256"/>
    </row>
    <row r="72" spans="1:26">
      <c r="A72" s="65" t="str">
        <f>'Year 1'!A150</f>
        <v>Liability Insurance</v>
      </c>
      <c r="B72" s="259">
        <f>'Year 1'!B150</f>
        <v>50000</v>
      </c>
      <c r="C72" s="76">
        <f t="shared" ref="C72:N72" si="63">$B72/12</f>
        <v>4166.666666666667</v>
      </c>
      <c r="D72" s="76">
        <f t="shared" si="63"/>
        <v>4166.666666666667</v>
      </c>
      <c r="E72" s="76">
        <f t="shared" si="63"/>
        <v>4166.666666666667</v>
      </c>
      <c r="F72" s="76">
        <f t="shared" si="63"/>
        <v>4166.666666666667</v>
      </c>
      <c r="G72" s="76">
        <f t="shared" si="63"/>
        <v>4166.666666666667</v>
      </c>
      <c r="H72" s="76">
        <f t="shared" si="63"/>
        <v>4166.666666666667</v>
      </c>
      <c r="I72" s="76">
        <f t="shared" si="63"/>
        <v>4166.666666666667</v>
      </c>
      <c r="J72" s="76">
        <f t="shared" si="63"/>
        <v>4166.666666666667</v>
      </c>
      <c r="K72" s="76">
        <f t="shared" si="63"/>
        <v>4166.666666666667</v>
      </c>
      <c r="L72" s="76">
        <f t="shared" si="63"/>
        <v>4166.666666666667</v>
      </c>
      <c r="M72" s="76">
        <f t="shared" si="63"/>
        <v>4166.666666666667</v>
      </c>
      <c r="N72" s="76">
        <f t="shared" si="63"/>
        <v>4166.666666666667</v>
      </c>
      <c r="O72" s="259">
        <f t="shared" si="51"/>
        <v>49999.999999999993</v>
      </c>
      <c r="P72" s="256"/>
    </row>
    <row r="73" spans="1:26">
      <c r="A73" s="65" t="str">
        <f>'Year 1'!A151</f>
        <v>Telephone</v>
      </c>
      <c r="B73" s="259">
        <f>'Year 1'!B151</f>
        <v>14400</v>
      </c>
      <c r="C73" s="76">
        <f t="shared" ref="C73:N73" si="64">$B73/12</f>
        <v>1200</v>
      </c>
      <c r="D73" s="76">
        <f t="shared" si="64"/>
        <v>1200</v>
      </c>
      <c r="E73" s="76">
        <f t="shared" si="64"/>
        <v>1200</v>
      </c>
      <c r="F73" s="76">
        <f t="shared" si="64"/>
        <v>1200</v>
      </c>
      <c r="G73" s="76">
        <f t="shared" si="64"/>
        <v>1200</v>
      </c>
      <c r="H73" s="76">
        <f t="shared" si="64"/>
        <v>1200</v>
      </c>
      <c r="I73" s="76">
        <f t="shared" si="64"/>
        <v>1200</v>
      </c>
      <c r="J73" s="76">
        <f t="shared" si="64"/>
        <v>1200</v>
      </c>
      <c r="K73" s="76">
        <f t="shared" si="64"/>
        <v>1200</v>
      </c>
      <c r="L73" s="76">
        <f t="shared" si="64"/>
        <v>1200</v>
      </c>
      <c r="M73" s="76">
        <f t="shared" si="64"/>
        <v>1200</v>
      </c>
      <c r="N73" s="76">
        <f t="shared" si="64"/>
        <v>1200</v>
      </c>
      <c r="O73" s="259">
        <f t="shared" si="51"/>
        <v>14400</v>
      </c>
      <c r="P73" s="256"/>
    </row>
    <row r="74" spans="1:26">
      <c r="A74" s="65" t="str">
        <f>'Year 1'!A152</f>
        <v>Postage and Delivery</v>
      </c>
      <c r="B74" s="259">
        <f>'Year 1'!B152</f>
        <v>1200</v>
      </c>
      <c r="C74" s="76">
        <f t="shared" ref="C74:N74" si="65">$B74/12</f>
        <v>100</v>
      </c>
      <c r="D74" s="76">
        <f t="shared" si="65"/>
        <v>100</v>
      </c>
      <c r="E74" s="76">
        <f t="shared" si="65"/>
        <v>100</v>
      </c>
      <c r="F74" s="76">
        <f t="shared" si="65"/>
        <v>100</v>
      </c>
      <c r="G74" s="76">
        <f t="shared" si="65"/>
        <v>100</v>
      </c>
      <c r="H74" s="76">
        <f t="shared" si="65"/>
        <v>100</v>
      </c>
      <c r="I74" s="76">
        <f t="shared" si="65"/>
        <v>100</v>
      </c>
      <c r="J74" s="76">
        <f t="shared" si="65"/>
        <v>100</v>
      </c>
      <c r="K74" s="76">
        <f t="shared" si="65"/>
        <v>100</v>
      </c>
      <c r="L74" s="76">
        <f t="shared" si="65"/>
        <v>100</v>
      </c>
      <c r="M74" s="76">
        <f t="shared" si="65"/>
        <v>100</v>
      </c>
      <c r="N74" s="76">
        <f t="shared" si="65"/>
        <v>100</v>
      </c>
      <c r="O74" s="259">
        <f t="shared" si="51"/>
        <v>1200</v>
      </c>
      <c r="P74" s="256"/>
    </row>
    <row r="75" spans="1:26">
      <c r="A75" s="65" t="str">
        <f>'Year 1'!A153</f>
        <v>Advertising</v>
      </c>
      <c r="B75" s="259">
        <f>'Year 1'!B153</f>
        <v>15000</v>
      </c>
      <c r="C75" s="76">
        <f t="shared" ref="C75:N75" si="66">$B75/12</f>
        <v>1250</v>
      </c>
      <c r="D75" s="76">
        <f t="shared" si="66"/>
        <v>1250</v>
      </c>
      <c r="E75" s="76">
        <f t="shared" si="66"/>
        <v>1250</v>
      </c>
      <c r="F75" s="76">
        <f t="shared" si="66"/>
        <v>1250</v>
      </c>
      <c r="G75" s="76">
        <f t="shared" si="66"/>
        <v>1250</v>
      </c>
      <c r="H75" s="76">
        <f t="shared" si="66"/>
        <v>1250</v>
      </c>
      <c r="I75" s="76">
        <f t="shared" si="66"/>
        <v>1250</v>
      </c>
      <c r="J75" s="76">
        <f t="shared" si="66"/>
        <v>1250</v>
      </c>
      <c r="K75" s="76">
        <f t="shared" si="66"/>
        <v>1250</v>
      </c>
      <c r="L75" s="76">
        <f t="shared" si="66"/>
        <v>1250</v>
      </c>
      <c r="M75" s="76">
        <f t="shared" si="66"/>
        <v>1250</v>
      </c>
      <c r="N75" s="76">
        <f t="shared" si="66"/>
        <v>1250</v>
      </c>
      <c r="O75" s="259">
        <f t="shared" si="51"/>
        <v>15000</v>
      </c>
      <c r="P75" s="256"/>
    </row>
    <row r="76" spans="1:26">
      <c r="A76" s="65" t="str">
        <f>'Year 1'!A154</f>
        <v>Printing</v>
      </c>
      <c r="B76" s="259">
        <f>'Year 1'!B154</f>
        <v>15000</v>
      </c>
      <c r="C76" s="76">
        <f t="shared" ref="C76:N76" si="67">$B76/12</f>
        <v>1250</v>
      </c>
      <c r="D76" s="76">
        <f t="shared" si="67"/>
        <v>1250</v>
      </c>
      <c r="E76" s="76">
        <f t="shared" si="67"/>
        <v>1250</v>
      </c>
      <c r="F76" s="76">
        <f t="shared" si="67"/>
        <v>1250</v>
      </c>
      <c r="G76" s="76">
        <f t="shared" si="67"/>
        <v>1250</v>
      </c>
      <c r="H76" s="76">
        <f t="shared" si="67"/>
        <v>1250</v>
      </c>
      <c r="I76" s="76">
        <f t="shared" si="67"/>
        <v>1250</v>
      </c>
      <c r="J76" s="76">
        <f t="shared" si="67"/>
        <v>1250</v>
      </c>
      <c r="K76" s="76">
        <f t="shared" si="67"/>
        <v>1250</v>
      </c>
      <c r="L76" s="76">
        <f t="shared" si="67"/>
        <v>1250</v>
      </c>
      <c r="M76" s="76">
        <f t="shared" si="67"/>
        <v>1250</v>
      </c>
      <c r="N76" s="76">
        <f t="shared" si="67"/>
        <v>1250</v>
      </c>
      <c r="O76" s="259">
        <f t="shared" si="51"/>
        <v>15000</v>
      </c>
      <c r="P76" s="256"/>
    </row>
    <row r="77" spans="1:26">
      <c r="A77" s="65" t="str">
        <f>'Year 1'!A155</f>
        <v>Bank Fees</v>
      </c>
      <c r="B77" s="259">
        <f>'Year 1'!B155</f>
        <v>3000</v>
      </c>
      <c r="C77" s="76">
        <f t="shared" ref="C77:N77" si="68">$B77/12</f>
        <v>250</v>
      </c>
      <c r="D77" s="76">
        <f t="shared" si="68"/>
        <v>250</v>
      </c>
      <c r="E77" s="76">
        <f t="shared" si="68"/>
        <v>250</v>
      </c>
      <c r="F77" s="76">
        <f t="shared" si="68"/>
        <v>250</v>
      </c>
      <c r="G77" s="76">
        <f t="shared" si="68"/>
        <v>250</v>
      </c>
      <c r="H77" s="76">
        <f t="shared" si="68"/>
        <v>250</v>
      </c>
      <c r="I77" s="76">
        <f t="shared" si="68"/>
        <v>250</v>
      </c>
      <c r="J77" s="76">
        <f t="shared" si="68"/>
        <v>250</v>
      </c>
      <c r="K77" s="76">
        <f t="shared" si="68"/>
        <v>250</v>
      </c>
      <c r="L77" s="76">
        <f t="shared" si="68"/>
        <v>250</v>
      </c>
      <c r="M77" s="76">
        <f t="shared" si="68"/>
        <v>250</v>
      </c>
      <c r="N77" s="76">
        <f t="shared" si="68"/>
        <v>250</v>
      </c>
      <c r="O77" s="259">
        <f t="shared" si="51"/>
        <v>3000</v>
      </c>
      <c r="P77" s="256"/>
      <c r="Q77" s="4"/>
      <c r="R77" s="4"/>
      <c r="S77" s="4"/>
      <c r="T77" s="4"/>
      <c r="U77" s="4"/>
      <c r="V77" s="4"/>
      <c r="W77" s="4"/>
      <c r="X77" s="4"/>
      <c r="Y77" s="4"/>
      <c r="Z77" s="4"/>
    </row>
    <row r="78" spans="1:26">
      <c r="A78" s="65" t="str">
        <f>'Year 1'!A156</f>
        <v>Legal Fees</v>
      </c>
      <c r="B78" s="259">
        <f>'Year 1'!B156</f>
        <v>10000</v>
      </c>
      <c r="C78" s="76">
        <f t="shared" ref="C78:N78" si="69">$B78/12</f>
        <v>833.33333333333337</v>
      </c>
      <c r="D78" s="76">
        <f t="shared" si="69"/>
        <v>833.33333333333337</v>
      </c>
      <c r="E78" s="76">
        <f t="shared" si="69"/>
        <v>833.33333333333337</v>
      </c>
      <c r="F78" s="76">
        <f t="shared" si="69"/>
        <v>833.33333333333337</v>
      </c>
      <c r="G78" s="76">
        <f t="shared" si="69"/>
        <v>833.33333333333337</v>
      </c>
      <c r="H78" s="76">
        <f t="shared" si="69"/>
        <v>833.33333333333337</v>
      </c>
      <c r="I78" s="76">
        <f t="shared" si="69"/>
        <v>833.33333333333337</v>
      </c>
      <c r="J78" s="76">
        <f t="shared" si="69"/>
        <v>833.33333333333337</v>
      </c>
      <c r="K78" s="76">
        <f t="shared" si="69"/>
        <v>833.33333333333337</v>
      </c>
      <c r="L78" s="76">
        <f t="shared" si="69"/>
        <v>833.33333333333337</v>
      </c>
      <c r="M78" s="76">
        <f t="shared" si="69"/>
        <v>833.33333333333337</v>
      </c>
      <c r="N78" s="76">
        <f t="shared" si="69"/>
        <v>833.33333333333337</v>
      </c>
      <c r="O78" s="259">
        <f t="shared" si="51"/>
        <v>10000</v>
      </c>
      <c r="P78" s="256"/>
      <c r="Q78" s="4"/>
      <c r="R78" s="4"/>
      <c r="S78" s="4"/>
      <c r="T78" s="4"/>
      <c r="U78" s="4"/>
      <c r="V78" s="4"/>
      <c r="W78" s="4"/>
      <c r="X78" s="4"/>
      <c r="Y78" s="4"/>
      <c r="Z78" s="4"/>
    </row>
    <row r="79" spans="1:26">
      <c r="A79" s="65" t="str">
        <f>'Year 1'!A157</f>
        <v>Travel Registration and Entry</v>
      </c>
      <c r="B79" s="259">
        <f>'Year 1'!B157</f>
        <v>10000</v>
      </c>
      <c r="C79" s="76">
        <f t="shared" ref="C79:N79" si="70">$B79/12</f>
        <v>833.33333333333337</v>
      </c>
      <c r="D79" s="76">
        <f t="shared" si="70"/>
        <v>833.33333333333337</v>
      </c>
      <c r="E79" s="76">
        <f t="shared" si="70"/>
        <v>833.33333333333337</v>
      </c>
      <c r="F79" s="76">
        <f t="shared" si="70"/>
        <v>833.33333333333337</v>
      </c>
      <c r="G79" s="76">
        <f t="shared" si="70"/>
        <v>833.33333333333337</v>
      </c>
      <c r="H79" s="76">
        <f t="shared" si="70"/>
        <v>833.33333333333337</v>
      </c>
      <c r="I79" s="76">
        <f t="shared" si="70"/>
        <v>833.33333333333337</v>
      </c>
      <c r="J79" s="76">
        <f t="shared" si="70"/>
        <v>833.33333333333337</v>
      </c>
      <c r="K79" s="76">
        <f t="shared" si="70"/>
        <v>833.33333333333337</v>
      </c>
      <c r="L79" s="76">
        <f t="shared" si="70"/>
        <v>833.33333333333337</v>
      </c>
      <c r="M79" s="76">
        <f t="shared" si="70"/>
        <v>833.33333333333337</v>
      </c>
      <c r="N79" s="76">
        <f t="shared" si="70"/>
        <v>833.33333333333337</v>
      </c>
      <c r="O79" s="259">
        <f t="shared" si="51"/>
        <v>10000</v>
      </c>
      <c r="P79" s="256"/>
    </row>
    <row r="80" spans="1:26">
      <c r="A80" s="65" t="str">
        <f>'Year 1'!A158</f>
        <v>Oasis HR Services</v>
      </c>
      <c r="B80" s="259">
        <f>'Year 1'!B158</f>
        <v>37000</v>
      </c>
      <c r="C80" s="76">
        <f t="shared" ref="C80:N80" si="71">$B80/12</f>
        <v>3083.3333333333335</v>
      </c>
      <c r="D80" s="76">
        <f t="shared" si="71"/>
        <v>3083.3333333333335</v>
      </c>
      <c r="E80" s="76">
        <f t="shared" si="71"/>
        <v>3083.3333333333335</v>
      </c>
      <c r="F80" s="76">
        <f t="shared" si="71"/>
        <v>3083.3333333333335</v>
      </c>
      <c r="G80" s="76">
        <f t="shared" si="71"/>
        <v>3083.3333333333335</v>
      </c>
      <c r="H80" s="76">
        <f t="shared" si="71"/>
        <v>3083.3333333333335</v>
      </c>
      <c r="I80" s="76">
        <f t="shared" si="71"/>
        <v>3083.3333333333335</v>
      </c>
      <c r="J80" s="76">
        <f t="shared" si="71"/>
        <v>3083.3333333333335</v>
      </c>
      <c r="K80" s="76">
        <f t="shared" si="71"/>
        <v>3083.3333333333335</v>
      </c>
      <c r="L80" s="76">
        <f t="shared" si="71"/>
        <v>3083.3333333333335</v>
      </c>
      <c r="M80" s="76">
        <f t="shared" si="71"/>
        <v>3083.3333333333335</v>
      </c>
      <c r="N80" s="76">
        <f t="shared" si="71"/>
        <v>3083.3333333333335</v>
      </c>
      <c r="O80" s="259">
        <f t="shared" si="51"/>
        <v>37000</v>
      </c>
      <c r="P80" s="256"/>
      <c r="Q80" s="4"/>
      <c r="R80" s="4"/>
      <c r="S80" s="4"/>
      <c r="T80" s="4"/>
      <c r="U80" s="4"/>
      <c r="V80" s="4"/>
      <c r="W80" s="4"/>
      <c r="X80" s="4"/>
      <c r="Y80" s="4"/>
      <c r="Z80" s="4"/>
    </row>
    <row r="81" spans="1:26">
      <c r="A81" s="65" t="str">
        <f>'Year 1'!A159</f>
        <v>Audit Fees</v>
      </c>
      <c r="B81" s="259">
        <f>'Year 1'!B159</f>
        <v>12500</v>
      </c>
      <c r="C81" s="76">
        <f t="shared" ref="C81:N81" si="72">$B81/12</f>
        <v>1041.6666666666667</v>
      </c>
      <c r="D81" s="76">
        <f t="shared" si="72"/>
        <v>1041.6666666666667</v>
      </c>
      <c r="E81" s="76">
        <f t="shared" si="72"/>
        <v>1041.6666666666667</v>
      </c>
      <c r="F81" s="76">
        <f t="shared" si="72"/>
        <v>1041.6666666666667</v>
      </c>
      <c r="G81" s="76">
        <f t="shared" si="72"/>
        <v>1041.6666666666667</v>
      </c>
      <c r="H81" s="76">
        <f t="shared" si="72"/>
        <v>1041.6666666666667</v>
      </c>
      <c r="I81" s="76">
        <f t="shared" si="72"/>
        <v>1041.6666666666667</v>
      </c>
      <c r="J81" s="76">
        <f t="shared" si="72"/>
        <v>1041.6666666666667</v>
      </c>
      <c r="K81" s="76">
        <f t="shared" si="72"/>
        <v>1041.6666666666667</v>
      </c>
      <c r="L81" s="76">
        <f t="shared" si="72"/>
        <v>1041.6666666666667</v>
      </c>
      <c r="M81" s="76">
        <f t="shared" si="72"/>
        <v>1041.6666666666667</v>
      </c>
      <c r="N81" s="76">
        <f t="shared" si="72"/>
        <v>1041.6666666666667</v>
      </c>
      <c r="O81" s="259">
        <f t="shared" si="51"/>
        <v>12499.999999999998</v>
      </c>
      <c r="P81" s="256"/>
      <c r="Q81" s="4"/>
      <c r="R81" s="4"/>
      <c r="S81" s="4"/>
      <c r="T81" s="4"/>
      <c r="U81" s="4"/>
      <c r="V81" s="4"/>
      <c r="W81" s="4"/>
      <c r="X81" s="4"/>
      <c r="Y81" s="4"/>
      <c r="Z81" s="4"/>
    </row>
    <row r="82" spans="1:26">
      <c r="A82" s="65" t="str">
        <f>'Year 1'!A160</f>
        <v>Accounting Fees</v>
      </c>
      <c r="B82" s="259">
        <f>'Year 1'!B160</f>
        <v>12000</v>
      </c>
      <c r="C82" s="76">
        <f t="shared" ref="C82:N82" si="73">$B82/12</f>
        <v>1000</v>
      </c>
      <c r="D82" s="76">
        <f t="shared" si="73"/>
        <v>1000</v>
      </c>
      <c r="E82" s="76">
        <f t="shared" si="73"/>
        <v>1000</v>
      </c>
      <c r="F82" s="76">
        <f t="shared" si="73"/>
        <v>1000</v>
      </c>
      <c r="G82" s="76">
        <f t="shared" si="73"/>
        <v>1000</v>
      </c>
      <c r="H82" s="76">
        <f t="shared" si="73"/>
        <v>1000</v>
      </c>
      <c r="I82" s="76">
        <f t="shared" si="73"/>
        <v>1000</v>
      </c>
      <c r="J82" s="76">
        <f t="shared" si="73"/>
        <v>1000</v>
      </c>
      <c r="K82" s="76">
        <f t="shared" si="73"/>
        <v>1000</v>
      </c>
      <c r="L82" s="76">
        <f t="shared" si="73"/>
        <v>1000</v>
      </c>
      <c r="M82" s="76">
        <f t="shared" si="73"/>
        <v>1000</v>
      </c>
      <c r="N82" s="76">
        <f t="shared" si="73"/>
        <v>1000</v>
      </c>
      <c r="O82" s="259">
        <f t="shared" si="51"/>
        <v>12000</v>
      </c>
      <c r="P82" s="256"/>
      <c r="Q82" s="4"/>
      <c r="R82" s="4"/>
      <c r="S82" s="4"/>
      <c r="T82" s="4"/>
      <c r="U82" s="4"/>
      <c r="V82" s="4"/>
      <c r="W82" s="4"/>
      <c r="X82" s="4"/>
      <c r="Y82" s="4"/>
      <c r="Z82" s="4"/>
    </row>
    <row r="83" spans="1:26">
      <c r="A83" s="65" t="str">
        <f>'Year 1'!A161</f>
        <v>Other</v>
      </c>
      <c r="B83" s="259">
        <f>'Year 1'!B161</f>
        <v>0</v>
      </c>
      <c r="C83" s="76">
        <f t="shared" ref="C83:N83" si="74">$B83/12</f>
        <v>0</v>
      </c>
      <c r="D83" s="76">
        <f t="shared" si="74"/>
        <v>0</v>
      </c>
      <c r="E83" s="76">
        <f t="shared" si="74"/>
        <v>0</v>
      </c>
      <c r="F83" s="76">
        <f t="shared" si="74"/>
        <v>0</v>
      </c>
      <c r="G83" s="76">
        <f t="shared" si="74"/>
        <v>0</v>
      </c>
      <c r="H83" s="76">
        <f t="shared" si="74"/>
        <v>0</v>
      </c>
      <c r="I83" s="76">
        <f t="shared" si="74"/>
        <v>0</v>
      </c>
      <c r="J83" s="76">
        <f t="shared" si="74"/>
        <v>0</v>
      </c>
      <c r="K83" s="76">
        <f t="shared" si="74"/>
        <v>0</v>
      </c>
      <c r="L83" s="76">
        <f t="shared" si="74"/>
        <v>0</v>
      </c>
      <c r="M83" s="76">
        <f t="shared" si="74"/>
        <v>0</v>
      </c>
      <c r="N83" s="76">
        <f t="shared" si="74"/>
        <v>0</v>
      </c>
      <c r="O83" s="259">
        <f t="shared" si="51"/>
        <v>0</v>
      </c>
      <c r="P83" s="256"/>
      <c r="Q83" s="4"/>
      <c r="R83" s="4"/>
      <c r="S83" s="4"/>
      <c r="T83" s="4"/>
      <c r="U83" s="4"/>
      <c r="V83" s="4"/>
      <c r="W83" s="4"/>
      <c r="X83" s="4"/>
      <c r="Y83" s="4"/>
      <c r="Z83" s="4"/>
    </row>
    <row r="84" spans="1:26">
      <c r="A84" s="65" t="str">
        <f>'Year 1'!A162</f>
        <v>IT Services</v>
      </c>
      <c r="B84" s="259">
        <f>'Year 1'!B162</f>
        <v>20000</v>
      </c>
      <c r="C84" s="76">
        <f t="shared" ref="C84:N84" si="75">$B84/12</f>
        <v>1666.6666666666667</v>
      </c>
      <c r="D84" s="76">
        <f t="shared" si="75"/>
        <v>1666.6666666666667</v>
      </c>
      <c r="E84" s="76">
        <f t="shared" si="75"/>
        <v>1666.6666666666667</v>
      </c>
      <c r="F84" s="76">
        <f t="shared" si="75"/>
        <v>1666.6666666666667</v>
      </c>
      <c r="G84" s="76">
        <f t="shared" si="75"/>
        <v>1666.6666666666667</v>
      </c>
      <c r="H84" s="76">
        <f t="shared" si="75"/>
        <v>1666.6666666666667</v>
      </c>
      <c r="I84" s="76">
        <f t="shared" si="75"/>
        <v>1666.6666666666667</v>
      </c>
      <c r="J84" s="76">
        <f t="shared" si="75"/>
        <v>1666.6666666666667</v>
      </c>
      <c r="K84" s="76">
        <f t="shared" si="75"/>
        <v>1666.6666666666667</v>
      </c>
      <c r="L84" s="76">
        <f t="shared" si="75"/>
        <v>1666.6666666666667</v>
      </c>
      <c r="M84" s="76">
        <f t="shared" si="75"/>
        <v>1666.6666666666667</v>
      </c>
      <c r="N84" s="76">
        <f t="shared" si="75"/>
        <v>1666.6666666666667</v>
      </c>
      <c r="O84" s="259">
        <f t="shared" si="51"/>
        <v>20000</v>
      </c>
      <c r="P84" s="256"/>
      <c r="Q84" s="4"/>
      <c r="R84" s="4"/>
      <c r="S84" s="4"/>
      <c r="T84" s="4"/>
      <c r="U84" s="4"/>
      <c r="V84" s="4"/>
      <c r="W84" s="4"/>
      <c r="X84" s="4"/>
      <c r="Y84" s="4"/>
      <c r="Z84" s="4"/>
    </row>
    <row r="85" spans="1:26">
      <c r="A85" s="65" t="str">
        <f>'Year 1'!A163</f>
        <v>Special Education Contracted Services</v>
      </c>
      <c r="B85" s="259">
        <f>'Year 1'!B163</f>
        <v>100000</v>
      </c>
      <c r="C85" s="76">
        <f t="shared" ref="C85:N85" si="76">$B85/12</f>
        <v>8333.3333333333339</v>
      </c>
      <c r="D85" s="76">
        <f t="shared" si="76"/>
        <v>8333.3333333333339</v>
      </c>
      <c r="E85" s="76">
        <f t="shared" si="76"/>
        <v>8333.3333333333339</v>
      </c>
      <c r="F85" s="76">
        <f t="shared" si="76"/>
        <v>8333.3333333333339</v>
      </c>
      <c r="G85" s="76">
        <f t="shared" si="76"/>
        <v>8333.3333333333339</v>
      </c>
      <c r="H85" s="76">
        <f t="shared" si="76"/>
        <v>8333.3333333333339</v>
      </c>
      <c r="I85" s="76">
        <f t="shared" si="76"/>
        <v>8333.3333333333339</v>
      </c>
      <c r="J85" s="76">
        <f t="shared" si="76"/>
        <v>8333.3333333333339</v>
      </c>
      <c r="K85" s="76">
        <f t="shared" si="76"/>
        <v>8333.3333333333339</v>
      </c>
      <c r="L85" s="76">
        <f t="shared" si="76"/>
        <v>8333.3333333333339</v>
      </c>
      <c r="M85" s="76">
        <f t="shared" si="76"/>
        <v>8333.3333333333339</v>
      </c>
      <c r="N85" s="76">
        <f t="shared" si="76"/>
        <v>8333.3333333333339</v>
      </c>
      <c r="O85" s="259">
        <f t="shared" si="51"/>
        <v>99999.999999999985</v>
      </c>
      <c r="P85" s="256"/>
      <c r="Q85" s="4"/>
      <c r="R85" s="4"/>
      <c r="S85" s="4"/>
      <c r="T85" s="4"/>
      <c r="U85" s="4"/>
      <c r="V85" s="4"/>
      <c r="W85" s="4"/>
      <c r="X85" s="4"/>
      <c r="Y85" s="4"/>
      <c r="Z85" s="4"/>
    </row>
    <row r="86" spans="1:26">
      <c r="A86" s="65" t="str">
        <f>'Year 1'!A164</f>
        <v>Other</v>
      </c>
      <c r="B86" s="259">
        <f>'Year 1'!B164</f>
        <v>0</v>
      </c>
      <c r="C86" s="76">
        <f t="shared" ref="C86:N86" si="77">$B86/12</f>
        <v>0</v>
      </c>
      <c r="D86" s="76">
        <f t="shared" si="77"/>
        <v>0</v>
      </c>
      <c r="E86" s="76">
        <f t="shared" si="77"/>
        <v>0</v>
      </c>
      <c r="F86" s="76">
        <f t="shared" si="77"/>
        <v>0</v>
      </c>
      <c r="G86" s="76">
        <f t="shared" si="77"/>
        <v>0</v>
      </c>
      <c r="H86" s="76">
        <f t="shared" si="77"/>
        <v>0</v>
      </c>
      <c r="I86" s="76">
        <f t="shared" si="77"/>
        <v>0</v>
      </c>
      <c r="J86" s="76">
        <f t="shared" si="77"/>
        <v>0</v>
      </c>
      <c r="K86" s="76">
        <f t="shared" si="77"/>
        <v>0</v>
      </c>
      <c r="L86" s="76">
        <f t="shared" si="77"/>
        <v>0</v>
      </c>
      <c r="M86" s="76">
        <f t="shared" si="77"/>
        <v>0</v>
      </c>
      <c r="N86" s="76">
        <f t="shared" si="77"/>
        <v>0</v>
      </c>
      <c r="O86" s="259">
        <f t="shared" si="51"/>
        <v>0</v>
      </c>
      <c r="P86" s="256"/>
      <c r="Q86" s="4"/>
      <c r="R86" s="4"/>
      <c r="S86" s="4"/>
      <c r="T86" s="4"/>
      <c r="U86" s="4"/>
      <c r="V86" s="4"/>
      <c r="W86" s="4"/>
      <c r="X86" s="4"/>
      <c r="Y86" s="4"/>
      <c r="Z86" s="4"/>
    </row>
    <row r="87" spans="1:26">
      <c r="A87" s="65" t="str">
        <f>'Year 1'!A165</f>
        <v>Other</v>
      </c>
      <c r="B87" s="259">
        <f>'Year 1'!B165</f>
        <v>0</v>
      </c>
      <c r="C87" s="76">
        <f t="shared" ref="C87:N87" si="78">$B87/12</f>
        <v>0</v>
      </c>
      <c r="D87" s="76">
        <f t="shared" si="78"/>
        <v>0</v>
      </c>
      <c r="E87" s="76">
        <f t="shared" si="78"/>
        <v>0</v>
      </c>
      <c r="F87" s="76">
        <f t="shared" si="78"/>
        <v>0</v>
      </c>
      <c r="G87" s="76">
        <f t="shared" si="78"/>
        <v>0</v>
      </c>
      <c r="H87" s="76">
        <f t="shared" si="78"/>
        <v>0</v>
      </c>
      <c r="I87" s="76">
        <f t="shared" si="78"/>
        <v>0</v>
      </c>
      <c r="J87" s="76">
        <f t="shared" si="78"/>
        <v>0</v>
      </c>
      <c r="K87" s="76">
        <f t="shared" si="78"/>
        <v>0</v>
      </c>
      <c r="L87" s="76">
        <f t="shared" si="78"/>
        <v>0</v>
      </c>
      <c r="M87" s="76">
        <f t="shared" si="78"/>
        <v>0</v>
      </c>
      <c r="N87" s="76">
        <f t="shared" si="78"/>
        <v>0</v>
      </c>
      <c r="O87" s="259">
        <f t="shared" si="51"/>
        <v>0</v>
      </c>
      <c r="P87" s="256"/>
      <c r="Q87" s="4"/>
      <c r="R87" s="4"/>
      <c r="S87" s="4"/>
      <c r="T87" s="4"/>
      <c r="U87" s="4"/>
      <c r="V87" s="4"/>
      <c r="W87" s="4"/>
      <c r="X87" s="4"/>
      <c r="Y87" s="4"/>
      <c r="Z87" s="4"/>
    </row>
    <row r="88" spans="1:26">
      <c r="A88" s="65" t="s">
        <v>440</v>
      </c>
      <c r="B88" s="259"/>
      <c r="C88" s="76"/>
      <c r="D88" s="76"/>
      <c r="E88" s="76"/>
      <c r="F88" s="76"/>
      <c r="G88" s="76"/>
      <c r="H88" s="76"/>
      <c r="I88" s="76"/>
      <c r="J88" s="76"/>
      <c r="K88" s="76"/>
      <c r="L88" s="76"/>
      <c r="M88" s="76"/>
      <c r="N88" s="76"/>
      <c r="O88" s="259"/>
      <c r="P88" s="256"/>
    </row>
    <row r="89" spans="1:26">
      <c r="A89" s="65" t="str">
        <f>'Year 1'!A169</f>
        <v>General Supplies</v>
      </c>
      <c r="B89" s="259">
        <f>'Year 1'!B169</f>
        <v>55000</v>
      </c>
      <c r="C89" s="76">
        <f t="shared" ref="C89:N89" si="79">$B89/12</f>
        <v>4583.333333333333</v>
      </c>
      <c r="D89" s="76">
        <f t="shared" si="79"/>
        <v>4583.333333333333</v>
      </c>
      <c r="E89" s="76">
        <f t="shared" si="79"/>
        <v>4583.333333333333</v>
      </c>
      <c r="F89" s="76">
        <f t="shared" si="79"/>
        <v>4583.333333333333</v>
      </c>
      <c r="G89" s="76">
        <f t="shared" si="79"/>
        <v>4583.333333333333</v>
      </c>
      <c r="H89" s="76">
        <f t="shared" si="79"/>
        <v>4583.333333333333</v>
      </c>
      <c r="I89" s="76">
        <f t="shared" si="79"/>
        <v>4583.333333333333</v>
      </c>
      <c r="J89" s="76">
        <f t="shared" si="79"/>
        <v>4583.333333333333</v>
      </c>
      <c r="K89" s="76">
        <f t="shared" si="79"/>
        <v>4583.333333333333</v>
      </c>
      <c r="L89" s="76">
        <f t="shared" si="79"/>
        <v>4583.333333333333</v>
      </c>
      <c r="M89" s="76">
        <f t="shared" si="79"/>
        <v>4583.333333333333</v>
      </c>
      <c r="N89" s="76">
        <f t="shared" si="79"/>
        <v>4583.333333333333</v>
      </c>
      <c r="O89" s="259">
        <f t="shared" ref="O89:O93" si="80">SUM(C89:N89)</f>
        <v>55000.000000000007</v>
      </c>
      <c r="P89" s="256"/>
    </row>
    <row r="90" spans="1:26">
      <c r="A90" s="65" t="str">
        <f>'Year 1'!A170</f>
        <v>Office Supplies</v>
      </c>
      <c r="B90" s="259">
        <f>'Year 1'!B170</f>
        <v>15000</v>
      </c>
      <c r="C90" s="76">
        <f t="shared" ref="C90:N90" si="81">$B90/12</f>
        <v>1250</v>
      </c>
      <c r="D90" s="76">
        <f t="shared" si="81"/>
        <v>1250</v>
      </c>
      <c r="E90" s="76">
        <f t="shared" si="81"/>
        <v>1250</v>
      </c>
      <c r="F90" s="76">
        <f t="shared" si="81"/>
        <v>1250</v>
      </c>
      <c r="G90" s="76">
        <f t="shared" si="81"/>
        <v>1250</v>
      </c>
      <c r="H90" s="76">
        <f t="shared" si="81"/>
        <v>1250</v>
      </c>
      <c r="I90" s="76">
        <f t="shared" si="81"/>
        <v>1250</v>
      </c>
      <c r="J90" s="76">
        <f t="shared" si="81"/>
        <v>1250</v>
      </c>
      <c r="K90" s="76">
        <f t="shared" si="81"/>
        <v>1250</v>
      </c>
      <c r="L90" s="76">
        <f t="shared" si="81"/>
        <v>1250</v>
      </c>
      <c r="M90" s="76">
        <f t="shared" si="81"/>
        <v>1250</v>
      </c>
      <c r="N90" s="76">
        <f t="shared" si="81"/>
        <v>1250</v>
      </c>
      <c r="O90" s="259">
        <f t="shared" si="80"/>
        <v>15000</v>
      </c>
      <c r="P90" s="256"/>
    </row>
    <row r="91" spans="1:26">
      <c r="A91" s="65" t="str">
        <f>'Year 1'!A171</f>
        <v>Textbooks</v>
      </c>
      <c r="B91" s="259">
        <f>'Year 1'!B171</f>
        <v>15000</v>
      </c>
      <c r="C91" s="76">
        <f t="shared" ref="C91:N91" si="82">$B91/12</f>
        <v>1250</v>
      </c>
      <c r="D91" s="76">
        <f t="shared" si="82"/>
        <v>1250</v>
      </c>
      <c r="E91" s="76">
        <f t="shared" si="82"/>
        <v>1250</v>
      </c>
      <c r="F91" s="76">
        <f t="shared" si="82"/>
        <v>1250</v>
      </c>
      <c r="G91" s="76">
        <f t="shared" si="82"/>
        <v>1250</v>
      </c>
      <c r="H91" s="76">
        <f t="shared" si="82"/>
        <v>1250</v>
      </c>
      <c r="I91" s="76">
        <f t="shared" si="82"/>
        <v>1250</v>
      </c>
      <c r="J91" s="76">
        <f t="shared" si="82"/>
        <v>1250</v>
      </c>
      <c r="K91" s="76">
        <f t="shared" si="82"/>
        <v>1250</v>
      </c>
      <c r="L91" s="76">
        <f t="shared" si="82"/>
        <v>1250</v>
      </c>
      <c r="M91" s="76">
        <f t="shared" si="82"/>
        <v>1250</v>
      </c>
      <c r="N91" s="76">
        <f t="shared" si="82"/>
        <v>1250</v>
      </c>
      <c r="O91" s="259">
        <f t="shared" si="80"/>
        <v>15000</v>
      </c>
      <c r="P91" s="256"/>
    </row>
    <row r="92" spans="1:26">
      <c r="A92" s="65" t="str">
        <f>'Year 1'!A172</f>
        <v>Software</v>
      </c>
      <c r="B92" s="259">
        <f>'Year 1'!B172</f>
        <v>7500</v>
      </c>
      <c r="C92" s="76">
        <f t="shared" ref="C92:N92" si="83">$B92/12</f>
        <v>625</v>
      </c>
      <c r="D92" s="76">
        <f t="shared" si="83"/>
        <v>625</v>
      </c>
      <c r="E92" s="76">
        <f t="shared" si="83"/>
        <v>625</v>
      </c>
      <c r="F92" s="76">
        <f t="shared" si="83"/>
        <v>625</v>
      </c>
      <c r="G92" s="76">
        <f t="shared" si="83"/>
        <v>625</v>
      </c>
      <c r="H92" s="76">
        <f t="shared" si="83"/>
        <v>625</v>
      </c>
      <c r="I92" s="76">
        <f t="shared" si="83"/>
        <v>625</v>
      </c>
      <c r="J92" s="76">
        <f t="shared" si="83"/>
        <v>625</v>
      </c>
      <c r="K92" s="76">
        <f t="shared" si="83"/>
        <v>625</v>
      </c>
      <c r="L92" s="76">
        <f t="shared" si="83"/>
        <v>625</v>
      </c>
      <c r="M92" s="76">
        <f t="shared" si="83"/>
        <v>625</v>
      </c>
      <c r="N92" s="76">
        <f t="shared" si="83"/>
        <v>625</v>
      </c>
      <c r="O92" s="259">
        <f t="shared" si="80"/>
        <v>7500</v>
      </c>
      <c r="P92" s="256"/>
    </row>
    <row r="93" spans="1:26">
      <c r="A93" s="65" t="str">
        <f>'Year 1'!A173</f>
        <v>Food</v>
      </c>
      <c r="B93" s="259">
        <f>'Year 1'!B173</f>
        <v>0</v>
      </c>
      <c r="C93" s="76">
        <f t="shared" ref="C93:N93" si="84">$B93/12</f>
        <v>0</v>
      </c>
      <c r="D93" s="76">
        <f t="shared" si="84"/>
        <v>0</v>
      </c>
      <c r="E93" s="76">
        <f t="shared" si="84"/>
        <v>0</v>
      </c>
      <c r="F93" s="76">
        <f t="shared" si="84"/>
        <v>0</v>
      </c>
      <c r="G93" s="76">
        <f t="shared" si="84"/>
        <v>0</v>
      </c>
      <c r="H93" s="76">
        <f t="shared" si="84"/>
        <v>0</v>
      </c>
      <c r="I93" s="76">
        <f t="shared" si="84"/>
        <v>0</v>
      </c>
      <c r="J93" s="76">
        <f t="shared" si="84"/>
        <v>0</v>
      </c>
      <c r="K93" s="76">
        <f t="shared" si="84"/>
        <v>0</v>
      </c>
      <c r="L93" s="76">
        <f t="shared" si="84"/>
        <v>0</v>
      </c>
      <c r="M93" s="76">
        <f t="shared" si="84"/>
        <v>0</v>
      </c>
      <c r="N93" s="76">
        <f t="shared" si="84"/>
        <v>0</v>
      </c>
      <c r="O93" s="259">
        <f t="shared" si="80"/>
        <v>0</v>
      </c>
      <c r="P93" s="256"/>
    </row>
    <row r="94" spans="1:26">
      <c r="A94" s="65" t="s">
        <v>441</v>
      </c>
      <c r="B94" s="259"/>
      <c r="C94" s="76"/>
      <c r="D94" s="76"/>
      <c r="E94" s="76"/>
      <c r="F94" s="76"/>
      <c r="G94" s="76"/>
      <c r="H94" s="76"/>
      <c r="I94" s="76"/>
      <c r="J94" s="76"/>
      <c r="K94" s="76"/>
      <c r="L94" s="76"/>
      <c r="M94" s="76"/>
      <c r="N94" s="76"/>
      <c r="O94" s="259"/>
      <c r="P94" s="256"/>
    </row>
    <row r="95" spans="1:26">
      <c r="A95" s="65" t="str">
        <f>'Year 1'!A177</f>
        <v>Technology</v>
      </c>
      <c r="B95" s="259">
        <f>'Year 1'!B177</f>
        <v>2500</v>
      </c>
      <c r="C95" s="76">
        <f t="shared" ref="C95:N95" si="85">$B95/12</f>
        <v>208.33333333333334</v>
      </c>
      <c r="D95" s="76">
        <f t="shared" si="85"/>
        <v>208.33333333333334</v>
      </c>
      <c r="E95" s="76">
        <f t="shared" si="85"/>
        <v>208.33333333333334</v>
      </c>
      <c r="F95" s="76">
        <f t="shared" si="85"/>
        <v>208.33333333333334</v>
      </c>
      <c r="G95" s="76">
        <f t="shared" si="85"/>
        <v>208.33333333333334</v>
      </c>
      <c r="H95" s="76">
        <f t="shared" si="85"/>
        <v>208.33333333333334</v>
      </c>
      <c r="I95" s="76">
        <f t="shared" si="85"/>
        <v>208.33333333333334</v>
      </c>
      <c r="J95" s="76">
        <f t="shared" si="85"/>
        <v>208.33333333333334</v>
      </c>
      <c r="K95" s="76">
        <f t="shared" si="85"/>
        <v>208.33333333333334</v>
      </c>
      <c r="L95" s="76">
        <f t="shared" si="85"/>
        <v>208.33333333333334</v>
      </c>
      <c r="M95" s="76">
        <f t="shared" si="85"/>
        <v>208.33333333333334</v>
      </c>
      <c r="N95" s="76">
        <f t="shared" si="85"/>
        <v>208.33333333333334</v>
      </c>
      <c r="O95" s="259">
        <f t="shared" ref="O95:O98" si="86">SUM(C95:N95)</f>
        <v>2500</v>
      </c>
      <c r="P95" s="256"/>
    </row>
    <row r="96" spans="1:26">
      <c r="A96" s="65" t="str">
        <f>'Year 1'!A178</f>
        <v>Fixtures and Furniture Classroom</v>
      </c>
      <c r="B96" s="259">
        <f>'Year 1'!B178</f>
        <v>0</v>
      </c>
      <c r="C96" s="76">
        <f t="shared" ref="C96:N96" si="87">$B96/12</f>
        <v>0</v>
      </c>
      <c r="D96" s="76">
        <f t="shared" si="87"/>
        <v>0</v>
      </c>
      <c r="E96" s="76">
        <f t="shared" si="87"/>
        <v>0</v>
      </c>
      <c r="F96" s="76">
        <f t="shared" si="87"/>
        <v>0</v>
      </c>
      <c r="G96" s="76">
        <f t="shared" si="87"/>
        <v>0</v>
      </c>
      <c r="H96" s="76">
        <f t="shared" si="87"/>
        <v>0</v>
      </c>
      <c r="I96" s="76">
        <f t="shared" si="87"/>
        <v>0</v>
      </c>
      <c r="J96" s="76">
        <f t="shared" si="87"/>
        <v>0</v>
      </c>
      <c r="K96" s="76">
        <f t="shared" si="87"/>
        <v>0</v>
      </c>
      <c r="L96" s="76">
        <f t="shared" si="87"/>
        <v>0</v>
      </c>
      <c r="M96" s="76">
        <f t="shared" si="87"/>
        <v>0</v>
      </c>
      <c r="N96" s="76">
        <f t="shared" si="87"/>
        <v>0</v>
      </c>
      <c r="O96" s="259">
        <f t="shared" si="86"/>
        <v>0</v>
      </c>
      <c r="P96" s="256"/>
    </row>
    <row r="97" spans="1:26">
      <c r="A97" s="65" t="str">
        <f>'Year 1'!A179</f>
        <v>Fixtures and Furniture Office</v>
      </c>
      <c r="B97" s="259">
        <f>'Year 1'!B179</f>
        <v>0</v>
      </c>
      <c r="C97" s="76">
        <f t="shared" ref="C97:N97" si="88">$B97/12</f>
        <v>0</v>
      </c>
      <c r="D97" s="76">
        <f t="shared" si="88"/>
        <v>0</v>
      </c>
      <c r="E97" s="76">
        <f t="shared" si="88"/>
        <v>0</v>
      </c>
      <c r="F97" s="76">
        <f t="shared" si="88"/>
        <v>0</v>
      </c>
      <c r="G97" s="76">
        <f t="shared" si="88"/>
        <v>0</v>
      </c>
      <c r="H97" s="76">
        <f t="shared" si="88"/>
        <v>0</v>
      </c>
      <c r="I97" s="76">
        <f t="shared" si="88"/>
        <v>0</v>
      </c>
      <c r="J97" s="76">
        <f t="shared" si="88"/>
        <v>0</v>
      </c>
      <c r="K97" s="76">
        <f t="shared" si="88"/>
        <v>0</v>
      </c>
      <c r="L97" s="76">
        <f t="shared" si="88"/>
        <v>0</v>
      </c>
      <c r="M97" s="76">
        <f t="shared" si="88"/>
        <v>0</v>
      </c>
      <c r="N97" s="76">
        <f t="shared" si="88"/>
        <v>0</v>
      </c>
      <c r="O97" s="259">
        <f t="shared" si="86"/>
        <v>0</v>
      </c>
      <c r="P97" s="256"/>
    </row>
    <row r="98" spans="1:26">
      <c r="A98" s="65" t="str">
        <f>'Year 1'!A180</f>
        <v>Non-Capital Equipment</v>
      </c>
      <c r="B98" s="259">
        <f>'Year 1'!B180</f>
        <v>2500</v>
      </c>
      <c r="C98" s="76">
        <f t="shared" ref="C98:N98" si="89">$B98/12</f>
        <v>208.33333333333334</v>
      </c>
      <c r="D98" s="76">
        <f t="shared" si="89"/>
        <v>208.33333333333334</v>
      </c>
      <c r="E98" s="76">
        <f t="shared" si="89"/>
        <v>208.33333333333334</v>
      </c>
      <c r="F98" s="76">
        <f t="shared" si="89"/>
        <v>208.33333333333334</v>
      </c>
      <c r="G98" s="76">
        <f t="shared" si="89"/>
        <v>208.33333333333334</v>
      </c>
      <c r="H98" s="76">
        <f t="shared" si="89"/>
        <v>208.33333333333334</v>
      </c>
      <c r="I98" s="76">
        <f t="shared" si="89"/>
        <v>208.33333333333334</v>
      </c>
      <c r="J98" s="76">
        <f t="shared" si="89"/>
        <v>208.33333333333334</v>
      </c>
      <c r="K98" s="76">
        <f t="shared" si="89"/>
        <v>208.33333333333334</v>
      </c>
      <c r="L98" s="76">
        <f t="shared" si="89"/>
        <v>208.33333333333334</v>
      </c>
      <c r="M98" s="76">
        <f t="shared" si="89"/>
        <v>208.33333333333334</v>
      </c>
      <c r="N98" s="76">
        <f t="shared" si="89"/>
        <v>208.33333333333334</v>
      </c>
      <c r="O98" s="259">
        <f t="shared" si="86"/>
        <v>2500</v>
      </c>
      <c r="P98" s="256"/>
    </row>
    <row r="99" spans="1:26">
      <c r="A99" s="65" t="s">
        <v>442</v>
      </c>
      <c r="B99" s="259"/>
      <c r="C99" s="76"/>
      <c r="D99" s="76"/>
      <c r="E99" s="76"/>
      <c r="F99" s="76"/>
      <c r="G99" s="76"/>
      <c r="H99" s="76"/>
      <c r="I99" s="76"/>
      <c r="J99" s="76"/>
      <c r="K99" s="76"/>
      <c r="L99" s="76"/>
      <c r="M99" s="76"/>
      <c r="N99" s="76"/>
      <c r="O99" s="259"/>
      <c r="P99" s="256"/>
    </row>
    <row r="100" spans="1:26">
      <c r="A100" s="65" t="str">
        <f>'Year 1'!A184</f>
        <v>Dues and Fees</v>
      </c>
      <c r="B100" s="259">
        <f>'Year 1'!B184</f>
        <v>3499.2</v>
      </c>
      <c r="C100" s="76">
        <f t="shared" ref="C100:N100" si="90">$B100/12</f>
        <v>291.59999999999997</v>
      </c>
      <c r="D100" s="76">
        <f t="shared" si="90"/>
        <v>291.59999999999997</v>
      </c>
      <c r="E100" s="76">
        <f t="shared" si="90"/>
        <v>291.59999999999997</v>
      </c>
      <c r="F100" s="76">
        <f t="shared" si="90"/>
        <v>291.59999999999997</v>
      </c>
      <c r="G100" s="76">
        <f t="shared" si="90"/>
        <v>291.59999999999997</v>
      </c>
      <c r="H100" s="76">
        <f t="shared" si="90"/>
        <v>291.59999999999997</v>
      </c>
      <c r="I100" s="76">
        <f t="shared" si="90"/>
        <v>291.59999999999997</v>
      </c>
      <c r="J100" s="76">
        <f t="shared" si="90"/>
        <v>291.59999999999997</v>
      </c>
      <c r="K100" s="76">
        <f t="shared" si="90"/>
        <v>291.59999999999997</v>
      </c>
      <c r="L100" s="76">
        <f t="shared" si="90"/>
        <v>291.59999999999997</v>
      </c>
      <c r="M100" s="76">
        <f t="shared" si="90"/>
        <v>291.59999999999997</v>
      </c>
      <c r="N100" s="76">
        <f t="shared" si="90"/>
        <v>291.59999999999997</v>
      </c>
      <c r="O100" s="259">
        <f t="shared" ref="O100:O102" si="91">SUM(C100:N100)</f>
        <v>3499.1999999999994</v>
      </c>
      <c r="P100" s="256"/>
    </row>
    <row r="101" spans="1:26">
      <c r="A101" s="65" t="str">
        <f>'Year 1'!A185</f>
        <v>Interest and Service Charges</v>
      </c>
      <c r="B101" s="259">
        <f>'Year 1'!B185</f>
        <v>0</v>
      </c>
      <c r="C101" s="76">
        <f t="shared" ref="C101:N101" si="92">$B101/12</f>
        <v>0</v>
      </c>
      <c r="D101" s="76">
        <f t="shared" si="92"/>
        <v>0</v>
      </c>
      <c r="E101" s="76">
        <f t="shared" si="92"/>
        <v>0</v>
      </c>
      <c r="F101" s="76">
        <f t="shared" si="92"/>
        <v>0</v>
      </c>
      <c r="G101" s="76">
        <f t="shared" si="92"/>
        <v>0</v>
      </c>
      <c r="H101" s="76">
        <f t="shared" si="92"/>
        <v>0</v>
      </c>
      <c r="I101" s="76">
        <f t="shared" si="92"/>
        <v>0</v>
      </c>
      <c r="J101" s="76">
        <f t="shared" si="92"/>
        <v>0</v>
      </c>
      <c r="K101" s="76">
        <f t="shared" si="92"/>
        <v>0</v>
      </c>
      <c r="L101" s="76">
        <f t="shared" si="92"/>
        <v>0</v>
      </c>
      <c r="M101" s="76">
        <f t="shared" si="92"/>
        <v>0</v>
      </c>
      <c r="N101" s="76">
        <f t="shared" si="92"/>
        <v>0</v>
      </c>
      <c r="O101" s="259">
        <f t="shared" si="91"/>
        <v>0</v>
      </c>
      <c r="P101" s="256"/>
    </row>
    <row r="102" spans="1:26">
      <c r="A102" s="261" t="s">
        <v>443</v>
      </c>
      <c r="B102" s="253">
        <f t="shared" ref="B102:N102" si="93">SUM(B27:B101)</f>
        <v>4227425.0797500005</v>
      </c>
      <c r="C102" s="254">
        <f t="shared" si="93"/>
        <v>253035.42331250003</v>
      </c>
      <c r="D102" s="253">
        <f t="shared" si="93"/>
        <v>253035.42331250003</v>
      </c>
      <c r="E102" s="253">
        <f t="shared" si="93"/>
        <v>372135.42331249994</v>
      </c>
      <c r="F102" s="253">
        <f t="shared" si="93"/>
        <v>372135.42331249994</v>
      </c>
      <c r="G102" s="253">
        <f t="shared" si="93"/>
        <v>372135.42331249994</v>
      </c>
      <c r="H102" s="253">
        <f t="shared" si="93"/>
        <v>372135.42331249994</v>
      </c>
      <c r="I102" s="253">
        <f t="shared" si="93"/>
        <v>372135.42331249994</v>
      </c>
      <c r="J102" s="253">
        <f t="shared" si="93"/>
        <v>372135.42331249994</v>
      </c>
      <c r="K102" s="253">
        <f t="shared" si="93"/>
        <v>372135.42331249994</v>
      </c>
      <c r="L102" s="253">
        <f t="shared" si="93"/>
        <v>372135.42331249994</v>
      </c>
      <c r="M102" s="253">
        <f t="shared" si="93"/>
        <v>372135.42331249994</v>
      </c>
      <c r="N102" s="255">
        <f t="shared" si="93"/>
        <v>372135.42331249994</v>
      </c>
      <c r="O102" s="253">
        <f t="shared" si="91"/>
        <v>4227425.0797500005</v>
      </c>
      <c r="P102" s="256"/>
      <c r="Q102" s="4"/>
      <c r="R102" s="4"/>
      <c r="S102" s="4"/>
      <c r="T102" s="4"/>
      <c r="U102" s="4"/>
      <c r="V102" s="4"/>
      <c r="W102" s="4"/>
      <c r="X102" s="4"/>
      <c r="Y102" s="4"/>
      <c r="Z102" s="4"/>
    </row>
    <row r="103" spans="1:26">
      <c r="A103" s="65"/>
      <c r="B103" s="258"/>
      <c r="C103" s="256"/>
      <c r="D103" s="256"/>
      <c r="E103" s="256"/>
      <c r="F103" s="256"/>
      <c r="G103" s="256"/>
      <c r="H103" s="256"/>
      <c r="I103" s="256"/>
      <c r="J103" s="256"/>
      <c r="K103" s="256"/>
      <c r="L103" s="256"/>
      <c r="M103" s="256"/>
      <c r="N103" s="256"/>
      <c r="O103" s="258"/>
      <c r="P103" s="256"/>
      <c r="Q103" s="4"/>
      <c r="R103" s="4"/>
      <c r="S103" s="4"/>
      <c r="T103" s="4"/>
      <c r="U103" s="4"/>
      <c r="V103" s="4"/>
      <c r="W103" s="4"/>
      <c r="X103" s="4"/>
      <c r="Y103" s="4"/>
      <c r="Z103" s="4"/>
    </row>
    <row r="104" spans="1:26">
      <c r="A104" s="87" t="s">
        <v>444</v>
      </c>
      <c r="B104" s="262">
        <f>'Year 1'!B193</f>
        <v>132284.4</v>
      </c>
      <c r="C104" s="88">
        <f t="shared" ref="C104:N104" si="94">$B104/12</f>
        <v>11023.699999999999</v>
      </c>
      <c r="D104" s="88">
        <f t="shared" si="94"/>
        <v>11023.699999999999</v>
      </c>
      <c r="E104" s="88">
        <f t="shared" si="94"/>
        <v>11023.699999999999</v>
      </c>
      <c r="F104" s="88">
        <f t="shared" si="94"/>
        <v>11023.699999999999</v>
      </c>
      <c r="G104" s="88">
        <f t="shared" si="94"/>
        <v>11023.699999999999</v>
      </c>
      <c r="H104" s="88">
        <f t="shared" si="94"/>
        <v>11023.699999999999</v>
      </c>
      <c r="I104" s="88">
        <f t="shared" si="94"/>
        <v>11023.699999999999</v>
      </c>
      <c r="J104" s="88">
        <f t="shared" si="94"/>
        <v>11023.699999999999</v>
      </c>
      <c r="K104" s="88">
        <f t="shared" si="94"/>
        <v>11023.699999999999</v>
      </c>
      <c r="L104" s="88">
        <f t="shared" si="94"/>
        <v>11023.699999999999</v>
      </c>
      <c r="M104" s="88">
        <f t="shared" si="94"/>
        <v>11023.699999999999</v>
      </c>
      <c r="N104" s="88">
        <f t="shared" si="94"/>
        <v>11023.699999999999</v>
      </c>
      <c r="O104" s="262">
        <f>SUM(C104:N104)</f>
        <v>132284.4</v>
      </c>
      <c r="P104" s="263"/>
      <c r="Q104" s="11"/>
      <c r="R104" s="11"/>
      <c r="S104" s="11"/>
      <c r="T104" s="11"/>
      <c r="U104" s="11"/>
      <c r="V104" s="11"/>
      <c r="W104" s="11"/>
      <c r="X104" s="11"/>
      <c r="Y104" s="11"/>
      <c r="Z104" s="11"/>
    </row>
    <row r="105" spans="1:26">
      <c r="B105" s="258"/>
      <c r="C105" s="256"/>
      <c r="D105" s="256"/>
      <c r="E105" s="256"/>
      <c r="F105" s="256"/>
      <c r="G105" s="256"/>
      <c r="H105" s="256"/>
      <c r="I105" s="256"/>
      <c r="J105" s="256"/>
      <c r="K105" s="256"/>
      <c r="L105" s="256"/>
      <c r="M105" s="256"/>
      <c r="N105" s="256"/>
      <c r="O105" s="258"/>
      <c r="P105" s="256"/>
    </row>
    <row r="106" spans="1:26">
      <c r="A106" s="23" t="s">
        <v>445</v>
      </c>
      <c r="B106" s="264"/>
      <c r="C106" s="265">
        <f>C24-C102-C104</f>
        <v>103397.5433541666</v>
      </c>
      <c r="D106" s="265">
        <f t="shared" ref="D106:N106" si="95">D24-D102-D104+C106</f>
        <v>206795.0867083332</v>
      </c>
      <c r="E106" s="265">
        <f t="shared" si="95"/>
        <v>191092.63006249987</v>
      </c>
      <c r="F106" s="265">
        <f t="shared" si="95"/>
        <v>175390.17341666654</v>
      </c>
      <c r="G106" s="265">
        <f t="shared" si="95"/>
        <v>159687.71677083321</v>
      </c>
      <c r="H106" s="265">
        <f t="shared" si="95"/>
        <v>143985.26012499988</v>
      </c>
      <c r="I106" s="265">
        <f t="shared" si="95"/>
        <v>128282.80347916657</v>
      </c>
      <c r="J106" s="265">
        <f t="shared" si="95"/>
        <v>112580.34683333326</v>
      </c>
      <c r="K106" s="265">
        <f t="shared" si="95"/>
        <v>96877.890187499943</v>
      </c>
      <c r="L106" s="265">
        <f t="shared" si="95"/>
        <v>81175.433541666629</v>
      </c>
      <c r="M106" s="265">
        <f t="shared" si="95"/>
        <v>65472.976895833315</v>
      </c>
      <c r="N106" s="265">
        <f t="shared" si="95"/>
        <v>49770.520250000001</v>
      </c>
      <c r="O106" s="258"/>
      <c r="P106" s="256"/>
    </row>
    <row r="151" spans="1:2">
      <c r="A151" t="s">
        <v>446</v>
      </c>
      <c r="B151" s="256">
        <f>'Year 1'!B28-'Cash Flow Year 1'!B24</f>
        <v>0</v>
      </c>
    </row>
    <row r="152" spans="1:2">
      <c r="A152" t="s">
        <v>447</v>
      </c>
      <c r="B152" s="256">
        <f>('Year 1'!B210-('Year 1'!B34*Assumptions!C60)*2/12-('Year 1'!B34*Assumptions!C61)*2/12-Assumptions!$C$43*Assumptions!C62*2/12-Assumptions!$C$43*Assumptions!C63*2/12-Assumptions!$C$43*Assumptions!C64*2/12-Assumptions!$C$43*Assumptions!C65*2/12-Assumptions!$C$43*Assumptions!C66*2/12-'Year 1'!B34*(2/12))-B102</f>
        <v>-4488676.0797500005</v>
      </c>
    </row>
  </sheetData>
  <mergeCells count="2">
    <mergeCell ref="A1:N1"/>
    <mergeCell ref="A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4"/>
  <sheetViews>
    <sheetView zoomScale="90" zoomScaleNormal="90" workbookViewId="0">
      <pane xSplit="2" ySplit="2" topLeftCell="C27" activePane="bottomRight" state="frozen"/>
      <selection pane="topRight" activeCell="C1" sqref="C1"/>
      <selection pane="bottomLeft" activeCell="A3" sqref="A3"/>
      <selection pane="bottomRight" activeCell="H62" sqref="H62"/>
    </sheetView>
  </sheetViews>
  <sheetFormatPr defaultColWidth="14.42578125" defaultRowHeight="15" customHeight="1"/>
  <cols>
    <col min="1" max="1" width="32.140625" customWidth="1"/>
    <col min="2" max="2" width="14.28515625" customWidth="1"/>
    <col min="3" max="3" width="12" customWidth="1"/>
    <col min="4" max="4" width="12.28515625" customWidth="1"/>
    <col min="5" max="5" width="13.85546875" customWidth="1"/>
    <col min="6" max="6" width="14.140625" customWidth="1"/>
    <col min="7" max="7" width="13.28515625" customWidth="1"/>
    <col min="8" max="8" width="12" customWidth="1"/>
    <col min="9" max="9" width="9.42578125" customWidth="1"/>
    <col min="10" max="10" width="13.85546875" customWidth="1"/>
    <col min="11" max="11" width="14.140625" customWidth="1"/>
    <col min="12" max="12" width="12.7109375" customWidth="1"/>
    <col min="13" max="13" width="11.85546875" customWidth="1"/>
    <col min="14" max="14" width="9.42578125" customWidth="1"/>
    <col min="15" max="15" width="13.85546875" customWidth="1"/>
    <col min="16" max="16" width="14.140625" customWidth="1"/>
    <col min="17" max="17" width="12.7109375" customWidth="1"/>
    <col min="18" max="18" width="11.85546875" customWidth="1"/>
    <col min="19" max="19" width="9.42578125" customWidth="1"/>
    <col min="20" max="20" width="13.85546875" customWidth="1"/>
    <col min="21" max="21" width="14.140625" customWidth="1"/>
    <col min="22" max="22" width="12.7109375" customWidth="1"/>
    <col min="23" max="23" width="11.7109375" customWidth="1"/>
    <col min="24" max="24" width="9.42578125" customWidth="1"/>
    <col min="25" max="25" width="13.85546875" customWidth="1"/>
    <col min="26" max="26" width="14.140625" customWidth="1"/>
    <col min="27" max="27" width="12.7109375" customWidth="1"/>
    <col min="28" max="28" width="11.7109375" customWidth="1"/>
    <col min="29" max="29" width="9.42578125" customWidth="1"/>
    <col min="30" max="30" width="13.85546875" customWidth="1"/>
    <col min="31" max="31" width="14.28515625" customWidth="1"/>
    <col min="32" max="32" width="13.85546875" customWidth="1"/>
  </cols>
  <sheetData>
    <row r="1" spans="1:32" ht="21">
      <c r="A1" s="310" t="s">
        <v>448</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2"/>
    </row>
    <row r="2" spans="1:32" ht="21">
      <c r="A2" s="291" t="s">
        <v>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row>
    <row r="3" spans="1:32">
      <c r="A3" s="1" t="s">
        <v>1</v>
      </c>
      <c r="B3" s="2" t="s">
        <v>2</v>
      </c>
      <c r="C3" s="2" t="s">
        <v>3</v>
      </c>
      <c r="D3" s="2" t="s">
        <v>4</v>
      </c>
      <c r="E3" s="2" t="s">
        <v>5</v>
      </c>
      <c r="F3" s="2" t="s">
        <v>6</v>
      </c>
      <c r="G3" s="3" t="s">
        <v>7</v>
      </c>
      <c r="H3" s="4"/>
      <c r="I3" s="304" t="s">
        <v>8</v>
      </c>
      <c r="J3" s="305"/>
      <c r="K3" s="305"/>
      <c r="L3" s="306"/>
      <c r="M3" s="4"/>
      <c r="N3" s="4"/>
      <c r="O3" s="4"/>
      <c r="P3" s="4"/>
      <c r="Q3" s="4"/>
      <c r="R3" s="4"/>
      <c r="S3" s="4"/>
      <c r="T3" s="4"/>
      <c r="U3" s="4"/>
      <c r="V3" s="4"/>
      <c r="W3" s="4"/>
      <c r="X3" s="4"/>
      <c r="Y3" s="4"/>
      <c r="Z3" s="4"/>
      <c r="AA3" s="4"/>
      <c r="AB3" s="4"/>
      <c r="AC3" s="4"/>
      <c r="AD3" s="4"/>
      <c r="AE3" s="4"/>
      <c r="AF3" s="4"/>
    </row>
    <row r="4" spans="1:32">
      <c r="A4" s="5" t="s">
        <v>9</v>
      </c>
      <c r="B4" s="6">
        <f>SUMIFS($C$14:$C$29,$B$14:$B$29,A4)+SUMIFS($C$36:$C$62,$B$36:$B$62,A4)</f>
        <v>0</v>
      </c>
      <c r="C4" s="6">
        <f>SUMIFS($H$14:$H$29,$B$14:$B$29,A4)+SUMIFS($H$36:$H$62,$B$36:$B$62,A4)</f>
        <v>3</v>
      </c>
      <c r="D4" s="6">
        <f>SUMIFS($M$14:$M$29,$B$14:$B$29,A4)+SUMIFS($M$36:$M$62,$B$36:$B$62,A4)</f>
        <v>4</v>
      </c>
      <c r="E4" s="6">
        <f>SUMIFS($R$14:$R$29,$B$14:$B$29,A4)+SUMIFS($R$36:$R$62,$B$36:$B$62,A4)</f>
        <v>6</v>
      </c>
      <c r="F4" s="6">
        <f>SUMIFS($W$14:$W$29,$B$14:$B$29,A4)+SUMIFS($W$36:$W$62,$B$36:$B$62,A4)</f>
        <v>6</v>
      </c>
      <c r="G4" s="7">
        <f>SUMIFS($AB$14:$AB$29,$B$14:$B$29,A4)+SUMIFS($AB$36:$AB$62,$B$36:$B$62,A4)</f>
        <v>5</v>
      </c>
      <c r="H4" s="4"/>
      <c r="I4" s="307"/>
      <c r="J4" s="276"/>
      <c r="K4" s="276"/>
      <c r="L4" s="308"/>
      <c r="M4" s="4"/>
      <c r="N4" s="313" t="s">
        <v>10</v>
      </c>
      <c r="O4" s="286"/>
      <c r="P4" s="286"/>
      <c r="Q4" s="286"/>
      <c r="R4" s="287"/>
      <c r="S4" s="4"/>
      <c r="T4" s="4"/>
      <c r="U4" s="4"/>
      <c r="V4" s="4"/>
      <c r="W4" s="4"/>
      <c r="X4" s="4"/>
      <c r="Y4" s="4"/>
      <c r="Z4" s="4"/>
      <c r="AA4" s="4"/>
      <c r="AB4" s="8"/>
      <c r="AC4" s="8"/>
      <c r="AD4" s="8"/>
      <c r="AE4" s="8"/>
      <c r="AF4" s="4"/>
    </row>
    <row r="5" spans="1:32">
      <c r="A5" s="9" t="s">
        <v>11</v>
      </c>
      <c r="B5" s="6">
        <f>SUMIFS($C$14:$C$29,$B$14:$B$29,A5)+SUMIFS($C$36:$C$62,$B$36:$B$62,A5)</f>
        <v>0</v>
      </c>
      <c r="C5" s="6">
        <f>SUMIFS($H$14:$H$29,$B$14:$B$29,A5)+SUMIFS($H$36:$H$62,$B$36:$B$62,A5)</f>
        <v>27.4</v>
      </c>
      <c r="D5" s="6">
        <f>SUMIFS($M$14:$M$29,$B$14:$B$29,A5)+SUMIFS($M$36:$M$62,$B$36:$B$62,A5)</f>
        <v>42</v>
      </c>
      <c r="E5" s="6">
        <f>SUMIFS($R$14:$R$29,$B$14:$B$29,A5)+SUMIFS($R$36:$R$62,$B$36:$B$62,A5)</f>
        <v>56</v>
      </c>
      <c r="F5" s="6">
        <f>SUMIFS($W$14:$W$29,$B$14:$B$29,A5)+SUMIFS($W$36:$W$62,$B$36:$B$62,A5)</f>
        <v>60</v>
      </c>
      <c r="G5" s="7">
        <f>SUMIFS($AB$14:$AB$29,$B$14:$B$29,A5)+SUMIFS($AB$36:$AB$62,$B$36:$B$62,A5)</f>
        <v>62</v>
      </c>
      <c r="H5" s="4"/>
      <c r="I5" s="307"/>
      <c r="J5" s="276"/>
      <c r="K5" s="276"/>
      <c r="L5" s="308"/>
      <c r="M5" s="10"/>
      <c r="N5" s="10"/>
      <c r="O5" s="10"/>
      <c r="P5" s="4"/>
      <c r="Q5" s="4"/>
      <c r="R5" s="4"/>
      <c r="S5" s="4"/>
      <c r="T5" s="4"/>
      <c r="U5" s="4"/>
      <c r="V5" s="4"/>
      <c r="W5" s="4"/>
      <c r="X5" s="4"/>
      <c r="Y5" s="4"/>
      <c r="Z5" s="4"/>
      <c r="AA5" s="4"/>
      <c r="AB5" s="4"/>
      <c r="AC5" s="4"/>
      <c r="AD5" s="4"/>
      <c r="AE5" s="4"/>
      <c r="AF5" s="4"/>
    </row>
    <row r="6" spans="1:32">
      <c r="A6" s="9" t="s">
        <v>12</v>
      </c>
      <c r="B6" s="6">
        <f>SUMIFS($C$14:$C$29,$B$14:$B$29,A6)+SUMIFS($C$36:$C$62,$B$36:$B$62,A6)</f>
        <v>0</v>
      </c>
      <c r="C6" s="6">
        <f>SUMIFS($H$14:$H$29,$B$14:$B$29,A6)+SUMIFS($H$36:$H$62,$B$36:$B$62,A6)</f>
        <v>0</v>
      </c>
      <c r="D6" s="6">
        <f>SUMIFS($M$14:$M$29,$B$14:$B$29,A6)+SUMIFS($M$36:$M$62,$B$36:$B$62,A6)</f>
        <v>0</v>
      </c>
      <c r="E6" s="6">
        <f>SUMIFS($R$14:$R$29,$B$14:$B$29,A6)+SUMIFS($R$36:$R$62,$B$36:$B$62,A6)</f>
        <v>0</v>
      </c>
      <c r="F6" s="6">
        <f>SUMIFS($W$14:$W$29,$B$14:$B$29,A6)+SUMIFS($W$36:$W$62,$B$36:$B$62,A6)</f>
        <v>0</v>
      </c>
      <c r="G6" s="7">
        <f>SUMIFS($AB$14:$AB$29,$B$14:$B$29,A6)+SUMIFS($AB$36:$AB$62,$B$36:$B$62,A6)</f>
        <v>0</v>
      </c>
      <c r="H6" s="4"/>
      <c r="I6" s="307"/>
      <c r="J6" s="276"/>
      <c r="K6" s="276"/>
      <c r="L6" s="308"/>
      <c r="M6" s="11"/>
      <c r="N6" s="11"/>
      <c r="O6" s="11"/>
      <c r="P6" s="4"/>
      <c r="Q6" s="4"/>
      <c r="R6" s="4"/>
      <c r="S6" s="4"/>
      <c r="T6" s="4"/>
      <c r="U6" s="4"/>
      <c r="V6" s="4"/>
      <c r="W6" s="4"/>
      <c r="X6" s="4"/>
      <c r="Y6" s="4"/>
      <c r="Z6" s="4"/>
      <c r="AA6" s="4"/>
      <c r="AB6" s="4"/>
      <c r="AC6" s="4"/>
      <c r="AD6" s="4"/>
      <c r="AE6" s="4"/>
      <c r="AF6" s="4"/>
    </row>
    <row r="7" spans="1:32">
      <c r="A7" s="12" t="s">
        <v>13</v>
      </c>
      <c r="B7" s="13">
        <f>SUMIFS($C$14:$C$29,$B$14:$B$29,A7)+SUMIFS($C$36:$C$62,$B$36:$B$62,A7)</f>
        <v>0</v>
      </c>
      <c r="C7" s="14">
        <f>SUMIFS($H$14:$H$29,$B$14:$B$29,A7)+SUMIFS($H$36:$H$62,$B$36:$B$62,A7)</f>
        <v>11</v>
      </c>
      <c r="D7" s="14">
        <f>SUMIFS($M$14:$M$29,$B$14:$B$29,A7)+SUMIFS($M$36:$M$62,$B$36:$B$62,A7)</f>
        <v>19</v>
      </c>
      <c r="E7" s="14">
        <f>SUMIFS($R$14:$R$29,$B$14:$B$29,A7)+SUMIFS($R$36:$R$62,$B$36:$B$62,A7)</f>
        <v>24</v>
      </c>
      <c r="F7" s="14">
        <f>SUMIFS($W$14:$W$29,$B$14:$B$29,A7)+SUMIFS($W$36:$W$62,$B$36:$B$62,A7)</f>
        <v>27</v>
      </c>
      <c r="G7" s="15">
        <f>SUMIFS($AB$14:$AB$29,$B$14:$B$29,A7)+SUMIFS($AB$36:$AB$62,$B$36:$B$62,A7)</f>
        <v>26</v>
      </c>
      <c r="H7" s="4"/>
      <c r="I7" s="307"/>
      <c r="J7" s="276"/>
      <c r="K7" s="276"/>
      <c r="L7" s="308"/>
      <c r="M7" s="11"/>
      <c r="N7" s="11"/>
      <c r="O7" s="11"/>
      <c r="P7" s="11"/>
      <c r="Q7" s="4"/>
      <c r="R7" s="4"/>
      <c r="S7" s="4"/>
      <c r="T7" s="4"/>
      <c r="U7" s="4"/>
      <c r="V7" s="4"/>
      <c r="W7" s="4"/>
      <c r="X7" s="4"/>
      <c r="Y7" s="4"/>
      <c r="Z7" s="4"/>
      <c r="AA7" s="4"/>
      <c r="AB7" s="4"/>
      <c r="AC7" s="4"/>
      <c r="AD7" s="4"/>
      <c r="AE7" s="4"/>
      <c r="AF7" s="4"/>
    </row>
    <row r="8" spans="1:32">
      <c r="A8" s="9" t="s">
        <v>14</v>
      </c>
      <c r="B8" s="16" t="str">
        <f>IF(ISERROR(ROUND(($E$63)/B$5,0)&amp;":1"),"0:0",ROUND(($E$63)/B$5,0)&amp;":1")</f>
        <v>0:0</v>
      </c>
      <c r="C8" s="17" t="str">
        <f>IF(ISERROR(ROUND(($J$63)/C$5,0)&amp;":1"),"0:0",ROUND(($J$63)/C$5,0)&amp;":1")</f>
        <v>20:1</v>
      </c>
      <c r="D8" s="17" t="str">
        <f>IF(ISERROR(ROUND(($O$63)/D$5,0)&amp;":1"),"0:0",ROUND(($O$63)/D$5,0)&amp;":1")</f>
        <v>19:1</v>
      </c>
      <c r="E8" s="17" t="str">
        <f>IF(ISERROR(ROUND(($T$63)/E$5,0)&amp;":1"),"0:0",ROUND(($T$63)/E$5,0)&amp;":1")</f>
        <v>18:1</v>
      </c>
      <c r="F8" s="17" t="str">
        <f>IF(ISERROR(ROUND(($Y$63)/F$5,0)&amp;":1"),"0:0",ROUND(($Y$63)/F$5,0)&amp;":1")</f>
        <v>18:1</v>
      </c>
      <c r="G8" s="18" t="str">
        <f>IF(ISERROR(ROUND(($AD$63)/G$5,0)&amp;":1"),"0:0",ROUND(($AD$63)/G$5,0)&amp;":1")</f>
        <v>18:1</v>
      </c>
      <c r="H8" s="4"/>
      <c r="I8" s="309"/>
      <c r="J8" s="302"/>
      <c r="K8" s="302"/>
      <c r="L8" s="303"/>
      <c r="M8" s="4"/>
      <c r="N8" s="4"/>
      <c r="O8" s="4"/>
      <c r="P8" s="4"/>
      <c r="Q8" s="4"/>
      <c r="R8" s="4"/>
      <c r="S8" s="4"/>
      <c r="T8" s="4"/>
      <c r="U8" s="4"/>
      <c r="V8" s="4"/>
      <c r="W8" s="4"/>
      <c r="X8" s="4"/>
      <c r="Y8" s="4"/>
      <c r="Z8" s="4"/>
      <c r="AA8" s="4"/>
      <c r="AB8" s="4"/>
      <c r="AC8" s="4"/>
      <c r="AD8" s="4"/>
      <c r="AE8" s="4"/>
      <c r="AF8" s="4"/>
    </row>
    <row r="9" spans="1:32">
      <c r="A9" s="12" t="s">
        <v>15</v>
      </c>
      <c r="B9" s="19" t="str">
        <f>IF(ISERROR(ROUND(($E$63)/(B4+B5+B6+B7),0)&amp;":1"),"0:0",ROUND(($E$63)/(B4+B5+B6+B7),0)&amp;":1")</f>
        <v>0:0</v>
      </c>
      <c r="C9" s="20" t="str">
        <f>IF(ISERROR(ROUND(($J$63)/(C4+C5+C6+C7),0)&amp;":1"),"0:0",ROUND(($J$63)/(C4+C5+C6+C7),0)&amp;":1")</f>
        <v>13:1</v>
      </c>
      <c r="D9" s="20" t="str">
        <f>IF(ISERROR(ROUND(($O$63)/(D4+D5+D6+D7),0)&amp;":1"),"0:0",ROUND(($O$63)/(D4+D5+D6+D7),0)&amp;":1")</f>
        <v>12:1</v>
      </c>
      <c r="E9" s="20" t="str">
        <f>IF(ISERROR(ROUND(($T$63)/(E4+E5+E6+E7),0)&amp;":1"),"0:0",ROUND(($T$63)/(E4+E5+E6+E7),0)&amp;":1")</f>
        <v>12:1</v>
      </c>
      <c r="F9" s="20" t="str">
        <f>IF(ISERROR(ROUND(($Y$63)/(F4+F5+F6+F7),0)&amp;":1"),"0:0",ROUND(($Y$63)/(F4+F5+F6+F7),0)&amp;":1")</f>
        <v>12:1</v>
      </c>
      <c r="G9" s="21" t="str">
        <f>IF(ISERROR(ROUND(($AD$63)/(G4+G5+G6+G7),0)&amp;":1"),"0:0",ROUND(($AD$63)/(G4+G5+G6+G7),0)&amp;":1")</f>
        <v>12:1</v>
      </c>
      <c r="H9" s="4"/>
      <c r="I9" s="301" t="s">
        <v>16</v>
      </c>
      <c r="J9" s="302"/>
      <c r="K9" s="302"/>
      <c r="L9" s="303"/>
      <c r="M9" s="4"/>
      <c r="N9" s="4"/>
      <c r="O9" s="4"/>
      <c r="P9" s="4"/>
      <c r="Q9" s="4"/>
      <c r="R9" s="4"/>
      <c r="S9" s="4"/>
      <c r="T9" s="4"/>
      <c r="U9" s="4"/>
      <c r="V9" s="4"/>
      <c r="W9" s="4"/>
      <c r="X9" s="4"/>
      <c r="Y9" s="4"/>
      <c r="Z9" s="4"/>
      <c r="AA9" s="4"/>
      <c r="AB9" s="4"/>
      <c r="AC9" s="4"/>
      <c r="AD9" s="4"/>
      <c r="AE9" s="4"/>
      <c r="AF9" s="4"/>
    </row>
    <row r="10" spans="1:3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22" t="s">
        <v>17</v>
      </c>
      <c r="B11" s="22"/>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c r="A12" s="23"/>
      <c r="B12" s="23"/>
      <c r="C12" s="298" t="s">
        <v>2</v>
      </c>
      <c r="D12" s="299"/>
      <c r="E12" s="299"/>
      <c r="F12" s="299"/>
      <c r="G12" s="300"/>
      <c r="H12" s="298" t="s">
        <v>3</v>
      </c>
      <c r="I12" s="299"/>
      <c r="J12" s="299"/>
      <c r="K12" s="299"/>
      <c r="L12" s="300"/>
      <c r="M12" s="298" t="s">
        <v>4</v>
      </c>
      <c r="N12" s="299"/>
      <c r="O12" s="299"/>
      <c r="P12" s="299"/>
      <c r="Q12" s="300"/>
      <c r="R12" s="298" t="s">
        <v>5</v>
      </c>
      <c r="S12" s="299"/>
      <c r="T12" s="299"/>
      <c r="U12" s="299"/>
      <c r="V12" s="300"/>
      <c r="W12" s="298" t="s">
        <v>6</v>
      </c>
      <c r="X12" s="299"/>
      <c r="Y12" s="299"/>
      <c r="Z12" s="299"/>
      <c r="AA12" s="300"/>
      <c r="AB12" s="298" t="s">
        <v>7</v>
      </c>
      <c r="AC12" s="299"/>
      <c r="AD12" s="299"/>
      <c r="AE12" s="299"/>
      <c r="AF12" s="300"/>
    </row>
    <row r="13" spans="1:32">
      <c r="A13" s="24" t="s">
        <v>18</v>
      </c>
      <c r="B13" s="24" t="s">
        <v>19</v>
      </c>
      <c r="C13" s="25" t="s">
        <v>20</v>
      </c>
      <c r="D13" s="26" t="s">
        <v>21</v>
      </c>
      <c r="E13" s="26" t="s">
        <v>22</v>
      </c>
      <c r="F13" s="26" t="s">
        <v>23</v>
      </c>
      <c r="G13" s="27" t="s">
        <v>24</v>
      </c>
      <c r="H13" s="25" t="s">
        <v>20</v>
      </c>
      <c r="I13" s="26" t="s">
        <v>21</v>
      </c>
      <c r="J13" s="26" t="s">
        <v>22</v>
      </c>
      <c r="K13" s="26" t="s">
        <v>23</v>
      </c>
      <c r="L13" s="27" t="s">
        <v>24</v>
      </c>
      <c r="M13" s="25" t="s">
        <v>20</v>
      </c>
      <c r="N13" s="26" t="s">
        <v>21</v>
      </c>
      <c r="O13" s="26" t="s">
        <v>22</v>
      </c>
      <c r="P13" s="26" t="s">
        <v>23</v>
      </c>
      <c r="Q13" s="27" t="s">
        <v>24</v>
      </c>
      <c r="R13" s="25" t="s">
        <v>20</v>
      </c>
      <c r="S13" s="26" t="s">
        <v>21</v>
      </c>
      <c r="T13" s="26" t="s">
        <v>22</v>
      </c>
      <c r="U13" s="26" t="s">
        <v>23</v>
      </c>
      <c r="V13" s="27" t="s">
        <v>24</v>
      </c>
      <c r="W13" s="25" t="s">
        <v>20</v>
      </c>
      <c r="X13" s="26" t="s">
        <v>21</v>
      </c>
      <c r="Y13" s="26" t="s">
        <v>22</v>
      </c>
      <c r="Z13" s="26" t="s">
        <v>23</v>
      </c>
      <c r="AA13" s="27" t="s">
        <v>24</v>
      </c>
      <c r="AB13" s="25" t="s">
        <v>20</v>
      </c>
      <c r="AC13" s="26" t="s">
        <v>21</v>
      </c>
      <c r="AD13" s="26" t="s">
        <v>22</v>
      </c>
      <c r="AE13" s="26" t="s">
        <v>23</v>
      </c>
      <c r="AF13" s="27" t="s">
        <v>24</v>
      </c>
    </row>
    <row r="14" spans="1:32">
      <c r="A14" s="28" t="s">
        <v>25</v>
      </c>
      <c r="B14" s="29" t="s">
        <v>9</v>
      </c>
      <c r="C14" s="30">
        <v>0</v>
      </c>
      <c r="D14" s="31"/>
      <c r="E14" s="31"/>
      <c r="F14" s="32">
        <v>0</v>
      </c>
      <c r="G14" s="33">
        <f t="shared" ref="G14:G29" si="0">C14*F14</f>
        <v>0</v>
      </c>
      <c r="H14" s="30">
        <v>1</v>
      </c>
      <c r="I14" s="31"/>
      <c r="J14" s="31"/>
      <c r="K14" s="34">
        <v>93500</v>
      </c>
      <c r="L14" s="33">
        <f t="shared" ref="L14:L29" si="1">K14*H14</f>
        <v>93500</v>
      </c>
      <c r="M14" s="30">
        <v>1</v>
      </c>
      <c r="N14" s="31"/>
      <c r="O14" s="31"/>
      <c r="P14" s="34">
        <f t="shared" ref="P14:P23" si="2">K14+(K14*$P$68)</f>
        <v>95370</v>
      </c>
      <c r="Q14" s="33">
        <f t="shared" ref="Q14:Q29" si="3">P14*M14</f>
        <v>95370</v>
      </c>
      <c r="R14" s="30">
        <v>1</v>
      </c>
      <c r="S14" s="31"/>
      <c r="T14" s="31"/>
      <c r="U14" s="34">
        <f>P14+(P14*$U$68)</f>
        <v>97277.4</v>
      </c>
      <c r="V14" s="33">
        <f t="shared" ref="V14:V29" si="4">U14*R14</f>
        <v>97277.4</v>
      </c>
      <c r="W14" s="30">
        <v>1</v>
      </c>
      <c r="X14" s="31"/>
      <c r="Y14" s="31"/>
      <c r="Z14" s="34">
        <f t="shared" ref="Z14:Z29" si="5">U14+(U14*$Z$68)</f>
        <v>99222.947999999989</v>
      </c>
      <c r="AA14" s="33">
        <f t="shared" ref="AA14:AA29" si="6">W14*Z14</f>
        <v>99222.947999999989</v>
      </c>
      <c r="AB14" s="30">
        <v>1</v>
      </c>
      <c r="AC14" s="31"/>
      <c r="AD14" s="31"/>
      <c r="AE14" s="34">
        <f t="shared" ref="AE14:AE29" si="7">Z14+(Z14*$AE$68)</f>
        <v>101207.40695999999</v>
      </c>
      <c r="AF14" s="33">
        <f t="shared" ref="AF14:AF29" si="8">AB14*AE14</f>
        <v>101207.40695999999</v>
      </c>
    </row>
    <row r="15" spans="1:32">
      <c r="A15" s="28" t="s">
        <v>26</v>
      </c>
      <c r="B15" s="29" t="s">
        <v>9</v>
      </c>
      <c r="C15" s="30">
        <v>0</v>
      </c>
      <c r="D15" s="31"/>
      <c r="E15" s="31"/>
      <c r="F15" s="32">
        <v>0</v>
      </c>
      <c r="G15" s="33">
        <f t="shared" si="0"/>
        <v>0</v>
      </c>
      <c r="H15" s="30">
        <v>1</v>
      </c>
      <c r="I15" s="31"/>
      <c r="J15" s="31"/>
      <c r="K15" s="34">
        <v>62500</v>
      </c>
      <c r="L15" s="33">
        <f t="shared" si="1"/>
        <v>62500</v>
      </c>
      <c r="M15" s="30">
        <v>1</v>
      </c>
      <c r="N15" s="31"/>
      <c r="O15" s="31"/>
      <c r="P15" s="34">
        <f t="shared" si="2"/>
        <v>63750</v>
      </c>
      <c r="Q15" s="33">
        <f t="shared" si="3"/>
        <v>63750</v>
      </c>
      <c r="R15" s="30">
        <v>2</v>
      </c>
      <c r="S15" s="31"/>
      <c r="T15" s="31"/>
      <c r="U15" s="34">
        <f>P15+(P15*$U$68)</f>
        <v>65025</v>
      </c>
      <c r="V15" s="33">
        <f t="shared" si="4"/>
        <v>130050</v>
      </c>
      <c r="W15" s="30">
        <v>2</v>
      </c>
      <c r="X15" s="31"/>
      <c r="Y15" s="31"/>
      <c r="Z15" s="34">
        <f t="shared" si="5"/>
        <v>66325.5</v>
      </c>
      <c r="AA15" s="33">
        <f t="shared" si="6"/>
        <v>132651</v>
      </c>
      <c r="AB15" s="30">
        <v>2</v>
      </c>
      <c r="AC15" s="31"/>
      <c r="AD15" s="31"/>
      <c r="AE15" s="34">
        <f t="shared" si="7"/>
        <v>67652.009999999995</v>
      </c>
      <c r="AF15" s="33">
        <f t="shared" si="8"/>
        <v>135304.01999999999</v>
      </c>
    </row>
    <row r="16" spans="1:32">
      <c r="A16" s="28" t="s">
        <v>449</v>
      </c>
      <c r="B16" s="29" t="s">
        <v>9</v>
      </c>
      <c r="C16" s="30">
        <v>0</v>
      </c>
      <c r="D16" s="31"/>
      <c r="E16" s="31"/>
      <c r="F16" s="32">
        <v>0</v>
      </c>
      <c r="G16" s="33">
        <f t="shared" si="0"/>
        <v>0</v>
      </c>
      <c r="H16" s="30">
        <v>1</v>
      </c>
      <c r="I16" s="31"/>
      <c r="J16" s="31"/>
      <c r="K16" s="34">
        <v>49000</v>
      </c>
      <c r="L16" s="33">
        <f t="shared" si="1"/>
        <v>49000</v>
      </c>
      <c r="M16" s="30">
        <v>1</v>
      </c>
      <c r="N16" s="31"/>
      <c r="O16" s="31"/>
      <c r="P16" s="34">
        <f t="shared" si="2"/>
        <v>49980</v>
      </c>
      <c r="Q16" s="33">
        <f t="shared" si="3"/>
        <v>49980</v>
      </c>
      <c r="R16" s="30">
        <v>1</v>
      </c>
      <c r="S16" s="31"/>
      <c r="T16" s="31"/>
      <c r="U16" s="34">
        <f>P16+(P16*$U$68)</f>
        <v>50979.6</v>
      </c>
      <c r="V16" s="33">
        <f t="shared" si="4"/>
        <v>50979.6</v>
      </c>
      <c r="W16" s="30">
        <v>1</v>
      </c>
      <c r="X16" s="31"/>
      <c r="Y16" s="31"/>
      <c r="Z16" s="34">
        <f t="shared" si="5"/>
        <v>51999.191999999995</v>
      </c>
      <c r="AA16" s="33">
        <f t="shared" si="6"/>
        <v>51999.191999999995</v>
      </c>
      <c r="AB16" s="30">
        <v>0</v>
      </c>
      <c r="AC16" s="31"/>
      <c r="AD16" s="31"/>
      <c r="AE16" s="34">
        <f t="shared" si="7"/>
        <v>53039.175839999996</v>
      </c>
      <c r="AF16" s="33">
        <f t="shared" si="8"/>
        <v>0</v>
      </c>
    </row>
    <row r="17" spans="1:32">
      <c r="A17" s="28" t="s">
        <v>452</v>
      </c>
      <c r="B17" s="29" t="s">
        <v>13</v>
      </c>
      <c r="C17" s="30">
        <v>0</v>
      </c>
      <c r="D17" s="31"/>
      <c r="E17" s="31"/>
      <c r="F17" s="32">
        <v>0</v>
      </c>
      <c r="G17" s="33">
        <f t="shared" si="0"/>
        <v>0</v>
      </c>
      <c r="H17" s="30">
        <v>1</v>
      </c>
      <c r="I17" s="31"/>
      <c r="J17" s="31"/>
      <c r="K17" s="34">
        <v>20000</v>
      </c>
      <c r="L17" s="33">
        <f t="shared" si="1"/>
        <v>20000</v>
      </c>
      <c r="M17" s="30">
        <v>1</v>
      </c>
      <c r="N17" s="31"/>
      <c r="O17" s="31"/>
      <c r="P17" s="34">
        <f t="shared" si="2"/>
        <v>20400</v>
      </c>
      <c r="Q17" s="33">
        <f t="shared" si="3"/>
        <v>20400</v>
      </c>
      <c r="R17" s="30">
        <v>1</v>
      </c>
      <c r="S17" s="31"/>
      <c r="T17" s="31"/>
      <c r="U17" s="34">
        <f>P17+(P17*$U$68)</f>
        <v>20808</v>
      </c>
      <c r="V17" s="33">
        <f t="shared" si="4"/>
        <v>20808</v>
      </c>
      <c r="W17" s="30">
        <v>1</v>
      </c>
      <c r="X17" s="31"/>
      <c r="Y17" s="31"/>
      <c r="Z17" s="34">
        <f t="shared" si="5"/>
        <v>21224.16</v>
      </c>
      <c r="AA17" s="33">
        <f t="shared" si="6"/>
        <v>21224.16</v>
      </c>
      <c r="AB17" s="30">
        <v>0</v>
      </c>
      <c r="AC17" s="31"/>
      <c r="AD17" s="31"/>
      <c r="AE17" s="34">
        <f t="shared" si="7"/>
        <v>21648.643199999999</v>
      </c>
      <c r="AF17" s="33">
        <f t="shared" si="8"/>
        <v>0</v>
      </c>
    </row>
    <row r="18" spans="1:32">
      <c r="A18" s="28" t="s">
        <v>27</v>
      </c>
      <c r="B18" s="29" t="s">
        <v>11</v>
      </c>
      <c r="C18" s="30">
        <v>0</v>
      </c>
      <c r="D18" s="31"/>
      <c r="E18" s="31"/>
      <c r="F18" s="32">
        <v>0</v>
      </c>
      <c r="G18" s="33">
        <f t="shared" si="0"/>
        <v>0</v>
      </c>
      <c r="H18" s="30">
        <v>0</v>
      </c>
      <c r="I18" s="31"/>
      <c r="J18" s="31"/>
      <c r="K18" s="34">
        <f>F18+(F18*$K$68)</f>
        <v>0</v>
      </c>
      <c r="L18" s="33">
        <f t="shared" si="1"/>
        <v>0</v>
      </c>
      <c r="M18" s="30">
        <v>0</v>
      </c>
      <c r="N18" s="31"/>
      <c r="O18" s="31"/>
      <c r="P18" s="34">
        <f t="shared" si="2"/>
        <v>0</v>
      </c>
      <c r="Q18" s="33">
        <f t="shared" si="3"/>
        <v>0</v>
      </c>
      <c r="R18" s="30">
        <v>0</v>
      </c>
      <c r="S18" s="31"/>
      <c r="T18" s="31"/>
      <c r="U18" s="34">
        <f>P18+(P18*$U$68)</f>
        <v>0</v>
      </c>
      <c r="V18" s="33">
        <f t="shared" si="4"/>
        <v>0</v>
      </c>
      <c r="W18" s="30">
        <v>0</v>
      </c>
      <c r="X18" s="31"/>
      <c r="Y18" s="31"/>
      <c r="Z18" s="34">
        <f t="shared" si="5"/>
        <v>0</v>
      </c>
      <c r="AA18" s="33">
        <f t="shared" si="6"/>
        <v>0</v>
      </c>
      <c r="AB18" s="30">
        <v>0</v>
      </c>
      <c r="AC18" s="31"/>
      <c r="AD18" s="31"/>
      <c r="AE18" s="34">
        <f t="shared" si="7"/>
        <v>0</v>
      </c>
      <c r="AF18" s="33">
        <f t="shared" si="8"/>
        <v>0</v>
      </c>
    </row>
    <row r="19" spans="1:32">
      <c r="A19" s="28" t="s">
        <v>28</v>
      </c>
      <c r="B19" s="29" t="s">
        <v>11</v>
      </c>
      <c r="C19" s="30">
        <v>0</v>
      </c>
      <c r="D19" s="31"/>
      <c r="E19" s="31"/>
      <c r="F19" s="32">
        <v>0</v>
      </c>
      <c r="G19" s="33">
        <f t="shared" si="0"/>
        <v>0</v>
      </c>
      <c r="H19" s="30">
        <v>0</v>
      </c>
      <c r="I19" s="31"/>
      <c r="J19" s="31"/>
      <c r="K19" s="34">
        <f>F19+(F19*$K$68)</f>
        <v>0</v>
      </c>
      <c r="L19" s="33">
        <f t="shared" si="1"/>
        <v>0</v>
      </c>
      <c r="M19" s="30">
        <v>0</v>
      </c>
      <c r="N19" s="31"/>
      <c r="O19" s="31"/>
      <c r="P19" s="34">
        <f t="shared" si="2"/>
        <v>0</v>
      </c>
      <c r="Q19" s="33">
        <f t="shared" si="3"/>
        <v>0</v>
      </c>
      <c r="R19" s="30">
        <v>0</v>
      </c>
      <c r="S19" s="31"/>
      <c r="T19" s="31"/>
      <c r="U19" s="34">
        <v>50000</v>
      </c>
      <c r="V19" s="33">
        <f t="shared" si="4"/>
        <v>0</v>
      </c>
      <c r="W19" s="30">
        <v>1</v>
      </c>
      <c r="X19" s="31"/>
      <c r="Y19" s="31"/>
      <c r="Z19" s="34">
        <f t="shared" si="5"/>
        <v>51000</v>
      </c>
      <c r="AA19" s="33">
        <f t="shared" si="6"/>
        <v>51000</v>
      </c>
      <c r="AB19" s="30">
        <v>1</v>
      </c>
      <c r="AC19" s="31"/>
      <c r="AD19" s="31"/>
      <c r="AE19" s="34">
        <f t="shared" si="7"/>
        <v>52020</v>
      </c>
      <c r="AF19" s="33">
        <f t="shared" si="8"/>
        <v>52020</v>
      </c>
    </row>
    <row r="20" spans="1:32">
      <c r="A20" s="28" t="s">
        <v>29</v>
      </c>
      <c r="B20" s="29" t="s">
        <v>13</v>
      </c>
      <c r="C20" s="30">
        <v>0</v>
      </c>
      <c r="D20" s="31"/>
      <c r="E20" s="31"/>
      <c r="F20" s="32">
        <v>0</v>
      </c>
      <c r="G20" s="33">
        <f t="shared" si="0"/>
        <v>0</v>
      </c>
      <c r="H20" s="30">
        <v>1</v>
      </c>
      <c r="I20" s="31"/>
      <c r="J20" s="31"/>
      <c r="K20" s="34">
        <v>24960</v>
      </c>
      <c r="L20" s="33">
        <f t="shared" si="1"/>
        <v>24960</v>
      </c>
      <c r="M20" s="30">
        <v>2</v>
      </c>
      <c r="N20" s="31"/>
      <c r="O20" s="31"/>
      <c r="P20" s="34">
        <f t="shared" si="2"/>
        <v>25459.200000000001</v>
      </c>
      <c r="Q20" s="33">
        <f t="shared" si="3"/>
        <v>50918.400000000001</v>
      </c>
      <c r="R20" s="30">
        <v>3</v>
      </c>
      <c r="S20" s="31"/>
      <c r="T20" s="31"/>
      <c r="U20" s="34">
        <f t="shared" ref="U20:U29" si="9">P20+(P20*$U$68)</f>
        <v>25968.384000000002</v>
      </c>
      <c r="V20" s="33">
        <f t="shared" si="4"/>
        <v>77905.152000000002</v>
      </c>
      <c r="W20" s="30">
        <v>3</v>
      </c>
      <c r="X20" s="31"/>
      <c r="Y20" s="31"/>
      <c r="Z20" s="34">
        <f t="shared" si="5"/>
        <v>26487.751680000001</v>
      </c>
      <c r="AA20" s="33">
        <f t="shared" si="6"/>
        <v>79463.255040000004</v>
      </c>
      <c r="AB20" s="30">
        <v>3</v>
      </c>
      <c r="AC20" s="31"/>
      <c r="AD20" s="31"/>
      <c r="AE20" s="34">
        <f t="shared" si="7"/>
        <v>27017.5067136</v>
      </c>
      <c r="AF20" s="33">
        <f t="shared" si="8"/>
        <v>81052.520140799999</v>
      </c>
    </row>
    <row r="21" spans="1:32">
      <c r="A21" s="28" t="s">
        <v>30</v>
      </c>
      <c r="B21" s="29" t="s">
        <v>12</v>
      </c>
      <c r="C21" s="30">
        <v>0</v>
      </c>
      <c r="D21" s="31"/>
      <c r="E21" s="31"/>
      <c r="F21" s="32">
        <v>0</v>
      </c>
      <c r="G21" s="33">
        <f t="shared" si="0"/>
        <v>0</v>
      </c>
      <c r="H21" s="30">
        <v>0</v>
      </c>
      <c r="I21" s="31"/>
      <c r="J21" s="31"/>
      <c r="K21" s="34">
        <f>F21+(F21*$K$68)</f>
        <v>0</v>
      </c>
      <c r="L21" s="33">
        <f t="shared" si="1"/>
        <v>0</v>
      </c>
      <c r="M21" s="30">
        <v>0</v>
      </c>
      <c r="N21" s="31"/>
      <c r="O21" s="31"/>
      <c r="P21" s="34">
        <f t="shared" si="2"/>
        <v>0</v>
      </c>
      <c r="Q21" s="33">
        <f t="shared" si="3"/>
        <v>0</v>
      </c>
      <c r="R21" s="30">
        <v>0</v>
      </c>
      <c r="S21" s="31"/>
      <c r="T21" s="31"/>
      <c r="U21" s="34">
        <f t="shared" si="9"/>
        <v>0</v>
      </c>
      <c r="V21" s="33">
        <f t="shared" si="4"/>
        <v>0</v>
      </c>
      <c r="W21" s="30">
        <v>0</v>
      </c>
      <c r="X21" s="31"/>
      <c r="Y21" s="31"/>
      <c r="Z21" s="34">
        <f t="shared" si="5"/>
        <v>0</v>
      </c>
      <c r="AA21" s="33">
        <f t="shared" si="6"/>
        <v>0</v>
      </c>
      <c r="AB21" s="30">
        <v>0</v>
      </c>
      <c r="AC21" s="31"/>
      <c r="AD21" s="31"/>
      <c r="AE21" s="34">
        <f t="shared" si="7"/>
        <v>0</v>
      </c>
      <c r="AF21" s="33">
        <f t="shared" si="8"/>
        <v>0</v>
      </c>
    </row>
    <row r="22" spans="1:32">
      <c r="A22" s="28" t="s">
        <v>31</v>
      </c>
      <c r="B22" s="29" t="s">
        <v>13</v>
      </c>
      <c r="C22" s="30">
        <v>0</v>
      </c>
      <c r="D22" s="31"/>
      <c r="E22" s="31"/>
      <c r="F22" s="32">
        <v>0</v>
      </c>
      <c r="G22" s="33">
        <f t="shared" si="0"/>
        <v>0</v>
      </c>
      <c r="H22" s="30">
        <v>0</v>
      </c>
      <c r="I22" s="31"/>
      <c r="J22" s="31"/>
      <c r="K22" s="34">
        <f>F22+(F22*$K$68)</f>
        <v>0</v>
      </c>
      <c r="L22" s="33">
        <f t="shared" si="1"/>
        <v>0</v>
      </c>
      <c r="M22" s="30">
        <v>0</v>
      </c>
      <c r="N22" s="31"/>
      <c r="O22" s="31"/>
      <c r="P22" s="34">
        <f t="shared" si="2"/>
        <v>0</v>
      </c>
      <c r="Q22" s="33">
        <f t="shared" si="3"/>
        <v>0</v>
      </c>
      <c r="R22" s="30">
        <v>0</v>
      </c>
      <c r="S22" s="31"/>
      <c r="T22" s="31"/>
      <c r="U22" s="34">
        <f t="shared" si="9"/>
        <v>0</v>
      </c>
      <c r="V22" s="33">
        <f t="shared" si="4"/>
        <v>0</v>
      </c>
      <c r="W22" s="30">
        <v>0</v>
      </c>
      <c r="X22" s="31"/>
      <c r="Y22" s="31"/>
      <c r="Z22" s="34">
        <f t="shared" si="5"/>
        <v>0</v>
      </c>
      <c r="AA22" s="33">
        <f t="shared" si="6"/>
        <v>0</v>
      </c>
      <c r="AB22" s="30">
        <v>0</v>
      </c>
      <c r="AC22" s="31"/>
      <c r="AD22" s="31"/>
      <c r="AE22" s="34">
        <f t="shared" si="7"/>
        <v>0</v>
      </c>
      <c r="AF22" s="33">
        <f t="shared" si="8"/>
        <v>0</v>
      </c>
    </row>
    <row r="23" spans="1:32">
      <c r="A23" s="28" t="s">
        <v>32</v>
      </c>
      <c r="B23" s="29" t="s">
        <v>13</v>
      </c>
      <c r="C23" s="30">
        <v>0</v>
      </c>
      <c r="D23" s="31"/>
      <c r="E23" s="31"/>
      <c r="F23" s="32">
        <v>0</v>
      </c>
      <c r="G23" s="33">
        <f t="shared" si="0"/>
        <v>0</v>
      </c>
      <c r="H23" s="30">
        <v>1</v>
      </c>
      <c r="I23" s="31"/>
      <c r="J23" s="31"/>
      <c r="K23" s="34">
        <v>25000</v>
      </c>
      <c r="L23" s="33">
        <f t="shared" si="1"/>
        <v>25000</v>
      </c>
      <c r="M23" s="30">
        <v>1</v>
      </c>
      <c r="N23" s="31"/>
      <c r="O23" s="31"/>
      <c r="P23" s="34">
        <f t="shared" si="2"/>
        <v>25500</v>
      </c>
      <c r="Q23" s="33">
        <f t="shared" si="3"/>
        <v>25500</v>
      </c>
      <c r="R23" s="30">
        <v>2</v>
      </c>
      <c r="S23" s="31"/>
      <c r="T23" s="31"/>
      <c r="U23" s="34">
        <f t="shared" si="9"/>
        <v>26010</v>
      </c>
      <c r="V23" s="33">
        <f t="shared" si="4"/>
        <v>52020</v>
      </c>
      <c r="W23" s="30">
        <v>2</v>
      </c>
      <c r="X23" s="31"/>
      <c r="Y23" s="31"/>
      <c r="Z23" s="34">
        <f t="shared" si="5"/>
        <v>26530.2</v>
      </c>
      <c r="AA23" s="33">
        <f t="shared" si="6"/>
        <v>53060.4</v>
      </c>
      <c r="AB23" s="30">
        <v>2</v>
      </c>
      <c r="AC23" s="31"/>
      <c r="AD23" s="31"/>
      <c r="AE23" s="34">
        <f t="shared" si="7"/>
        <v>27060.804</v>
      </c>
      <c r="AF23" s="33">
        <f t="shared" si="8"/>
        <v>54121.608</v>
      </c>
    </row>
    <row r="24" spans="1:32">
      <c r="A24" s="271" t="s">
        <v>484</v>
      </c>
      <c r="B24" s="29" t="s">
        <v>9</v>
      </c>
      <c r="C24" s="30">
        <v>0</v>
      </c>
      <c r="D24" s="31"/>
      <c r="E24" s="31"/>
      <c r="F24" s="32">
        <v>0</v>
      </c>
      <c r="G24" s="266">
        <f t="shared" ref="G24" si="10">C24*F24</f>
        <v>0</v>
      </c>
      <c r="H24" s="30">
        <v>0</v>
      </c>
      <c r="I24" s="31"/>
      <c r="J24" s="31"/>
      <c r="K24" s="34">
        <v>0</v>
      </c>
      <c r="L24" s="266">
        <f t="shared" ref="L24" si="11">K24*H24</f>
        <v>0</v>
      </c>
      <c r="M24" s="30">
        <v>1</v>
      </c>
      <c r="N24" s="31"/>
      <c r="O24" s="31"/>
      <c r="P24" s="34">
        <v>46000</v>
      </c>
      <c r="Q24" s="266">
        <f t="shared" ref="Q24" si="12">P24*M24</f>
        <v>46000</v>
      </c>
      <c r="R24" s="30">
        <v>2</v>
      </c>
      <c r="S24" s="31"/>
      <c r="T24" s="31"/>
      <c r="U24" s="34">
        <f t="shared" si="9"/>
        <v>46920</v>
      </c>
      <c r="V24" s="266">
        <f t="shared" ref="V24" si="13">U24*R24</f>
        <v>93840</v>
      </c>
      <c r="W24" s="30">
        <v>2</v>
      </c>
      <c r="X24" s="31"/>
      <c r="Y24" s="31"/>
      <c r="Z24" s="34">
        <f t="shared" si="5"/>
        <v>47858.400000000001</v>
      </c>
      <c r="AA24" s="266">
        <f t="shared" ref="AA24" si="14">W24*Z24</f>
        <v>95716.800000000003</v>
      </c>
      <c r="AB24" s="30">
        <v>2</v>
      </c>
      <c r="AC24" s="31"/>
      <c r="AD24" s="31"/>
      <c r="AE24" s="34">
        <f t="shared" si="7"/>
        <v>48815.567999999999</v>
      </c>
      <c r="AF24" s="266">
        <f t="shared" ref="AF24" si="15">AB24*AE24</f>
        <v>97631.135999999999</v>
      </c>
    </row>
    <row r="25" spans="1:32">
      <c r="A25" s="35" t="s">
        <v>450</v>
      </c>
      <c r="B25" s="29" t="s">
        <v>13</v>
      </c>
      <c r="C25" s="30">
        <v>0</v>
      </c>
      <c r="D25" s="31"/>
      <c r="E25" s="31"/>
      <c r="F25" s="32">
        <v>0</v>
      </c>
      <c r="G25" s="33">
        <f t="shared" si="0"/>
        <v>0</v>
      </c>
      <c r="H25" s="30">
        <v>2</v>
      </c>
      <c r="I25" s="31"/>
      <c r="J25" s="31"/>
      <c r="K25" s="34">
        <v>12000</v>
      </c>
      <c r="L25" s="33">
        <f t="shared" si="1"/>
        <v>24000</v>
      </c>
      <c r="M25" s="30">
        <v>5</v>
      </c>
      <c r="N25" s="31"/>
      <c r="O25" s="31"/>
      <c r="P25" s="34">
        <f>K25+(K25*$P$68)</f>
        <v>12240</v>
      </c>
      <c r="Q25" s="33">
        <f t="shared" si="3"/>
        <v>61200</v>
      </c>
      <c r="R25" s="30">
        <v>5</v>
      </c>
      <c r="S25" s="31"/>
      <c r="T25" s="31"/>
      <c r="U25" s="34">
        <f t="shared" si="9"/>
        <v>12484.8</v>
      </c>
      <c r="V25" s="33">
        <f t="shared" si="4"/>
        <v>62424</v>
      </c>
      <c r="W25" s="30">
        <v>7</v>
      </c>
      <c r="X25" s="31"/>
      <c r="Y25" s="31"/>
      <c r="Z25" s="34">
        <f t="shared" si="5"/>
        <v>12734.495999999999</v>
      </c>
      <c r="AA25" s="33">
        <f t="shared" si="6"/>
        <v>89141.471999999994</v>
      </c>
      <c r="AB25" s="30">
        <v>7</v>
      </c>
      <c r="AC25" s="31"/>
      <c r="AD25" s="31"/>
      <c r="AE25" s="34">
        <f t="shared" si="7"/>
        <v>12989.18592</v>
      </c>
      <c r="AF25" s="33">
        <f t="shared" si="8"/>
        <v>90924.301439999996</v>
      </c>
    </row>
    <row r="26" spans="1:32">
      <c r="A26" s="35" t="s">
        <v>454</v>
      </c>
      <c r="B26" s="29" t="s">
        <v>11</v>
      </c>
      <c r="C26" s="30">
        <v>0</v>
      </c>
      <c r="D26" s="31"/>
      <c r="E26" s="31"/>
      <c r="F26" s="32">
        <v>0</v>
      </c>
      <c r="G26" s="266">
        <f t="shared" ref="G26" si="16">C26*F26</f>
        <v>0</v>
      </c>
      <c r="H26" s="30">
        <v>0.4</v>
      </c>
      <c r="I26" s="31"/>
      <c r="J26" s="31"/>
      <c r="K26" s="34">
        <v>38000</v>
      </c>
      <c r="L26" s="266">
        <f t="shared" ref="L26" si="17">K26*H26</f>
        <v>15200</v>
      </c>
      <c r="M26" s="30">
        <v>1</v>
      </c>
      <c r="N26" s="31"/>
      <c r="O26" s="31"/>
      <c r="P26" s="34">
        <f>K26+(K26*$P$68)</f>
        <v>38760</v>
      </c>
      <c r="Q26" s="266">
        <f t="shared" ref="Q26" si="18">P26*M26</f>
        <v>38760</v>
      </c>
      <c r="R26" s="30">
        <v>1</v>
      </c>
      <c r="S26" s="31"/>
      <c r="T26" s="31"/>
      <c r="U26" s="34">
        <f t="shared" si="9"/>
        <v>39535.199999999997</v>
      </c>
      <c r="V26" s="266">
        <f t="shared" ref="V26" si="19">U26*R26</f>
        <v>39535.199999999997</v>
      </c>
      <c r="W26" s="30">
        <v>1</v>
      </c>
      <c r="X26" s="31"/>
      <c r="Y26" s="31"/>
      <c r="Z26" s="34">
        <f t="shared" si="5"/>
        <v>40325.903999999995</v>
      </c>
      <c r="AA26" s="266">
        <f t="shared" ref="AA26" si="20">W26*Z26</f>
        <v>40325.903999999995</v>
      </c>
      <c r="AB26" s="30">
        <v>1</v>
      </c>
      <c r="AC26" s="31"/>
      <c r="AD26" s="31"/>
      <c r="AE26" s="34">
        <f t="shared" si="7"/>
        <v>41132.422079999997</v>
      </c>
      <c r="AF26" s="266">
        <f t="shared" ref="AF26" si="21">AB26*AE26</f>
        <v>41132.422079999997</v>
      </c>
    </row>
    <row r="27" spans="1:32">
      <c r="A27" s="35" t="s">
        <v>455</v>
      </c>
      <c r="B27" s="29" t="s">
        <v>13</v>
      </c>
      <c r="C27" s="30">
        <v>0</v>
      </c>
      <c r="D27" s="31"/>
      <c r="E27" s="31"/>
      <c r="F27" s="32">
        <v>0</v>
      </c>
      <c r="G27" s="266">
        <f t="shared" ref="G27" si="22">C27*F27</f>
        <v>0</v>
      </c>
      <c r="H27" s="30">
        <v>1</v>
      </c>
      <c r="I27" s="31"/>
      <c r="J27" s="31"/>
      <c r="K27" s="34">
        <v>22800</v>
      </c>
      <c r="L27" s="266">
        <f t="shared" ref="L27" si="23">K27*H27</f>
        <v>22800</v>
      </c>
      <c r="M27" s="30">
        <v>1</v>
      </c>
      <c r="N27" s="31"/>
      <c r="O27" s="31"/>
      <c r="P27" s="34">
        <f>K27+(K27*$P$68)</f>
        <v>23256</v>
      </c>
      <c r="Q27" s="266">
        <f t="shared" ref="Q27" si="24">P27*M27</f>
        <v>23256</v>
      </c>
      <c r="R27" s="30">
        <v>2</v>
      </c>
      <c r="S27" s="31"/>
      <c r="T27" s="31"/>
      <c r="U27" s="34">
        <f t="shared" si="9"/>
        <v>23721.119999999999</v>
      </c>
      <c r="V27" s="266">
        <f t="shared" ref="V27" si="25">U27*R27</f>
        <v>47442.239999999998</v>
      </c>
      <c r="W27" s="30">
        <v>2</v>
      </c>
      <c r="X27" s="31"/>
      <c r="Y27" s="31"/>
      <c r="Z27" s="34">
        <f t="shared" si="5"/>
        <v>24195.542399999998</v>
      </c>
      <c r="AA27" s="266">
        <f t="shared" ref="AA27" si="26">W27*Z27</f>
        <v>48391.084799999997</v>
      </c>
      <c r="AB27" s="30">
        <v>2</v>
      </c>
      <c r="AC27" s="31"/>
      <c r="AD27" s="31"/>
      <c r="AE27" s="34">
        <f t="shared" si="7"/>
        <v>24679.453247999998</v>
      </c>
      <c r="AF27" s="266">
        <f t="shared" ref="AF27" si="27">AB27*AE27</f>
        <v>49358.906495999996</v>
      </c>
    </row>
    <row r="28" spans="1:32">
      <c r="A28" s="35" t="s">
        <v>453</v>
      </c>
      <c r="B28" s="29" t="s">
        <v>13</v>
      </c>
      <c r="C28" s="30">
        <v>0</v>
      </c>
      <c r="D28" s="31"/>
      <c r="E28" s="31"/>
      <c r="F28" s="32">
        <v>0</v>
      </c>
      <c r="G28" s="266">
        <f t="shared" ref="G28" si="28">C28*F28</f>
        <v>0</v>
      </c>
      <c r="H28" s="30">
        <v>1</v>
      </c>
      <c r="I28" s="31"/>
      <c r="J28" s="31"/>
      <c r="K28" s="34">
        <v>18000</v>
      </c>
      <c r="L28" s="266">
        <f t="shared" ref="L28" si="29">K28*H28</f>
        <v>18000</v>
      </c>
      <c r="M28" s="30">
        <v>1</v>
      </c>
      <c r="N28" s="31"/>
      <c r="O28" s="31"/>
      <c r="P28" s="34">
        <f>K28+(K28*$P$68)</f>
        <v>18360</v>
      </c>
      <c r="Q28" s="266">
        <f t="shared" ref="Q28" si="30">P28*M28</f>
        <v>18360</v>
      </c>
      <c r="R28" s="30">
        <v>1</v>
      </c>
      <c r="S28" s="31"/>
      <c r="T28" s="31"/>
      <c r="U28" s="34">
        <f t="shared" si="9"/>
        <v>18727.2</v>
      </c>
      <c r="V28" s="266">
        <f t="shared" ref="V28" si="31">U28*R28</f>
        <v>18727.2</v>
      </c>
      <c r="W28" s="30">
        <v>1</v>
      </c>
      <c r="X28" s="31"/>
      <c r="Y28" s="31"/>
      <c r="Z28" s="34">
        <f t="shared" si="5"/>
        <v>19101.744000000002</v>
      </c>
      <c r="AA28" s="266">
        <f t="shared" ref="AA28" si="32">W28*Z28</f>
        <v>19101.744000000002</v>
      </c>
      <c r="AB28" s="30">
        <v>1</v>
      </c>
      <c r="AC28" s="31"/>
      <c r="AD28" s="31"/>
      <c r="AE28" s="34">
        <f t="shared" si="7"/>
        <v>19483.778880000002</v>
      </c>
      <c r="AF28" s="266">
        <f t="shared" ref="AF28" si="33">AB28*AE28</f>
        <v>19483.778880000002</v>
      </c>
    </row>
    <row r="29" spans="1:32">
      <c r="A29" s="36" t="s">
        <v>451</v>
      </c>
      <c r="B29" s="37" t="s">
        <v>13</v>
      </c>
      <c r="C29" s="38">
        <v>0</v>
      </c>
      <c r="D29" s="31"/>
      <c r="E29" s="31"/>
      <c r="F29" s="39">
        <v>0</v>
      </c>
      <c r="G29" s="33">
        <f t="shared" si="0"/>
        <v>0</v>
      </c>
      <c r="H29" s="38">
        <v>1</v>
      </c>
      <c r="I29" s="31"/>
      <c r="J29" s="31"/>
      <c r="K29" s="34">
        <v>13000</v>
      </c>
      <c r="L29" s="33">
        <f t="shared" si="1"/>
        <v>13000</v>
      </c>
      <c r="M29" s="38">
        <v>2</v>
      </c>
      <c r="N29" s="31"/>
      <c r="O29" s="31"/>
      <c r="P29" s="34">
        <f>K29+(K29*$P$68)</f>
        <v>13260</v>
      </c>
      <c r="Q29" s="33">
        <f t="shared" si="3"/>
        <v>26520</v>
      </c>
      <c r="R29" s="38">
        <v>3</v>
      </c>
      <c r="S29" s="31"/>
      <c r="T29" s="31"/>
      <c r="U29" s="34">
        <f t="shared" si="9"/>
        <v>13525.2</v>
      </c>
      <c r="V29" s="33">
        <f t="shared" si="4"/>
        <v>40575.600000000006</v>
      </c>
      <c r="W29" s="38">
        <v>3</v>
      </c>
      <c r="X29" s="31"/>
      <c r="Y29" s="31"/>
      <c r="Z29" s="34">
        <f t="shared" si="5"/>
        <v>13795.704000000002</v>
      </c>
      <c r="AA29" s="33">
        <f t="shared" si="6"/>
        <v>41387.112000000008</v>
      </c>
      <c r="AB29" s="38">
        <v>3</v>
      </c>
      <c r="AC29" s="31"/>
      <c r="AD29" s="31"/>
      <c r="AE29" s="34">
        <f t="shared" si="7"/>
        <v>14071.618080000002</v>
      </c>
      <c r="AF29" s="33">
        <f t="shared" si="8"/>
        <v>42214.854240000008</v>
      </c>
    </row>
    <row r="30" spans="1:32">
      <c r="A30" s="296" t="s">
        <v>34</v>
      </c>
      <c r="B30" s="297"/>
      <c r="C30" s="40">
        <f t="shared" ref="C30:E30" si="34">SUM(C14:C29)</f>
        <v>0</v>
      </c>
      <c r="D30" s="40">
        <f t="shared" si="34"/>
        <v>0</v>
      </c>
      <c r="E30" s="40">
        <f t="shared" si="34"/>
        <v>0</v>
      </c>
      <c r="F30" s="41"/>
      <c r="G30" s="42">
        <f t="shared" ref="G30:J30" si="35">SUM(G14:G29)</f>
        <v>0</v>
      </c>
      <c r="H30" s="40">
        <f t="shared" si="35"/>
        <v>11.4</v>
      </c>
      <c r="I30" s="40">
        <f t="shared" si="35"/>
        <v>0</v>
      </c>
      <c r="J30" s="40">
        <f t="shared" si="35"/>
        <v>0</v>
      </c>
      <c r="K30" s="41"/>
      <c r="L30" s="42">
        <f t="shared" ref="L30:O30" si="36">SUM(L14:L29)</f>
        <v>367960</v>
      </c>
      <c r="M30" s="40">
        <f t="shared" si="36"/>
        <v>18</v>
      </c>
      <c r="N30" s="40">
        <f t="shared" si="36"/>
        <v>0</v>
      </c>
      <c r="O30" s="40">
        <f t="shared" si="36"/>
        <v>0</v>
      </c>
      <c r="P30" s="41"/>
      <c r="Q30" s="42">
        <f t="shared" ref="Q30:T30" si="37">SUM(Q14:Q29)</f>
        <v>520014.4</v>
      </c>
      <c r="R30" s="40">
        <f t="shared" si="37"/>
        <v>24</v>
      </c>
      <c r="S30" s="40">
        <f t="shared" si="37"/>
        <v>0</v>
      </c>
      <c r="T30" s="40">
        <f t="shared" si="37"/>
        <v>0</v>
      </c>
      <c r="U30" s="41"/>
      <c r="V30" s="42">
        <f t="shared" ref="V30:Y30" si="38">SUM(V14:V29)</f>
        <v>731584.39199999988</v>
      </c>
      <c r="W30" s="40">
        <f t="shared" si="38"/>
        <v>27</v>
      </c>
      <c r="X30" s="40">
        <f t="shared" si="38"/>
        <v>0</v>
      </c>
      <c r="Y30" s="40">
        <f t="shared" si="38"/>
        <v>0</v>
      </c>
      <c r="Z30" s="41"/>
      <c r="AA30" s="42">
        <f t="shared" ref="AA30:AD30" si="39">SUM(AA14:AA29)</f>
        <v>822685.07183999976</v>
      </c>
      <c r="AB30" s="40">
        <f t="shared" si="39"/>
        <v>25</v>
      </c>
      <c r="AC30" s="40">
        <f t="shared" si="39"/>
        <v>0</v>
      </c>
      <c r="AD30" s="40">
        <f t="shared" si="39"/>
        <v>0</v>
      </c>
      <c r="AE30" s="41"/>
      <c r="AF30" s="42">
        <f>SUM(AF14:AF29)</f>
        <v>764450.95423679997</v>
      </c>
    </row>
    <row r="31" spans="1:3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c r="A33" s="22" t="s">
        <v>35</v>
      </c>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c r="A34" s="23"/>
      <c r="B34" s="23"/>
      <c r="C34" s="298" t="s">
        <v>2</v>
      </c>
      <c r="D34" s="299"/>
      <c r="E34" s="299"/>
      <c r="F34" s="299"/>
      <c r="G34" s="300"/>
      <c r="H34" s="298" t="s">
        <v>3</v>
      </c>
      <c r="I34" s="299"/>
      <c r="J34" s="299"/>
      <c r="K34" s="299"/>
      <c r="L34" s="300"/>
      <c r="M34" s="298" t="s">
        <v>4</v>
      </c>
      <c r="N34" s="299"/>
      <c r="O34" s="299"/>
      <c r="P34" s="299"/>
      <c r="Q34" s="300"/>
      <c r="R34" s="298" t="s">
        <v>5</v>
      </c>
      <c r="S34" s="299"/>
      <c r="T34" s="299"/>
      <c r="U34" s="299"/>
      <c r="V34" s="300"/>
      <c r="W34" s="298" t="s">
        <v>6</v>
      </c>
      <c r="X34" s="299"/>
      <c r="Y34" s="299"/>
      <c r="Z34" s="299"/>
      <c r="AA34" s="300"/>
      <c r="AB34" s="298" t="s">
        <v>7</v>
      </c>
      <c r="AC34" s="299"/>
      <c r="AD34" s="299"/>
      <c r="AE34" s="299"/>
      <c r="AF34" s="300"/>
    </row>
    <row r="35" spans="1:32">
      <c r="A35" s="24" t="s">
        <v>18</v>
      </c>
      <c r="B35" s="24" t="s">
        <v>19</v>
      </c>
      <c r="C35" s="25" t="s">
        <v>20</v>
      </c>
      <c r="D35" s="26" t="s">
        <v>21</v>
      </c>
      <c r="E35" s="26" t="s">
        <v>22</v>
      </c>
      <c r="F35" s="26" t="s">
        <v>23</v>
      </c>
      <c r="G35" s="27" t="s">
        <v>24</v>
      </c>
      <c r="H35" s="25" t="s">
        <v>20</v>
      </c>
      <c r="I35" s="26" t="s">
        <v>21</v>
      </c>
      <c r="J35" s="26" t="s">
        <v>22</v>
      </c>
      <c r="K35" s="26" t="s">
        <v>23</v>
      </c>
      <c r="L35" s="27" t="s">
        <v>24</v>
      </c>
      <c r="M35" s="25" t="s">
        <v>20</v>
      </c>
      <c r="N35" s="26" t="s">
        <v>21</v>
      </c>
      <c r="O35" s="26" t="s">
        <v>22</v>
      </c>
      <c r="P35" s="26" t="s">
        <v>23</v>
      </c>
      <c r="Q35" s="27" t="s">
        <v>24</v>
      </c>
      <c r="R35" s="25" t="s">
        <v>20</v>
      </c>
      <c r="S35" s="26" t="s">
        <v>21</v>
      </c>
      <c r="T35" s="26" t="s">
        <v>22</v>
      </c>
      <c r="U35" s="26" t="s">
        <v>23</v>
      </c>
      <c r="V35" s="27" t="s">
        <v>24</v>
      </c>
      <c r="W35" s="25" t="s">
        <v>20</v>
      </c>
      <c r="X35" s="26" t="s">
        <v>21</v>
      </c>
      <c r="Y35" s="26" t="s">
        <v>22</v>
      </c>
      <c r="Z35" s="26" t="s">
        <v>23</v>
      </c>
      <c r="AA35" s="27" t="s">
        <v>24</v>
      </c>
      <c r="AB35" s="25" t="s">
        <v>20</v>
      </c>
      <c r="AC35" s="26" t="s">
        <v>21</v>
      </c>
      <c r="AD35" s="26" t="s">
        <v>22</v>
      </c>
      <c r="AE35" s="26" t="s">
        <v>23</v>
      </c>
      <c r="AF35" s="27" t="s">
        <v>24</v>
      </c>
    </row>
    <row r="36" spans="1:32">
      <c r="A36" s="43" t="s">
        <v>36</v>
      </c>
      <c r="B36" s="43" t="s">
        <v>11</v>
      </c>
      <c r="C36" s="44"/>
      <c r="D36" s="31"/>
      <c r="E36" s="31"/>
      <c r="F36" s="45"/>
      <c r="G36" s="46">
        <f t="shared" ref="G36:G62" si="40">C36*F36</f>
        <v>0</v>
      </c>
      <c r="H36" s="30">
        <v>5</v>
      </c>
      <c r="I36" s="47">
        <v>26</v>
      </c>
      <c r="J36" s="4">
        <f t="shared" ref="J36:J62" si="41">H36*I36</f>
        <v>130</v>
      </c>
      <c r="K36" s="32">
        <v>43000</v>
      </c>
      <c r="L36" s="33">
        <f t="shared" ref="L36:L62" si="42">(H36*K36)</f>
        <v>215000</v>
      </c>
      <c r="M36" s="30">
        <v>5</v>
      </c>
      <c r="N36" s="47">
        <v>25</v>
      </c>
      <c r="O36" s="4">
        <f t="shared" ref="O36:O44" si="43">M36*N36</f>
        <v>125</v>
      </c>
      <c r="P36" s="34">
        <f t="shared" ref="P36:P62" si="44">K36+(K36*$P$69)</f>
        <v>43860</v>
      </c>
      <c r="Q36" s="33">
        <f t="shared" ref="Q36:Q62" si="45">M36*P36</f>
        <v>219300</v>
      </c>
      <c r="R36" s="30">
        <v>5</v>
      </c>
      <c r="S36" s="47">
        <v>25</v>
      </c>
      <c r="T36" s="4">
        <f t="shared" ref="T36:T44" si="46">R36*S36</f>
        <v>125</v>
      </c>
      <c r="U36" s="34">
        <f t="shared" ref="U36:U62" si="47">P36+(P36*$U$69)</f>
        <v>44737.2</v>
      </c>
      <c r="V36" s="33">
        <f t="shared" ref="V36:V62" si="48">R36*U36</f>
        <v>223686</v>
      </c>
      <c r="W36" s="30">
        <v>5</v>
      </c>
      <c r="X36" s="47">
        <v>25</v>
      </c>
      <c r="Y36" s="4">
        <f t="shared" ref="Y36:Y44" si="49">W36*X36</f>
        <v>125</v>
      </c>
      <c r="Z36" s="34">
        <f t="shared" ref="Z36:Z62" si="50">U36+(U36*$Z$69)</f>
        <v>45631.943999999996</v>
      </c>
      <c r="AA36" s="33">
        <f t="shared" ref="AA36:AA62" si="51">Z36*W36</f>
        <v>228159.71999999997</v>
      </c>
      <c r="AB36" s="30">
        <v>5</v>
      </c>
      <c r="AC36" s="47">
        <v>25</v>
      </c>
      <c r="AD36" s="4">
        <f t="shared" ref="AD36:AD44" si="52">AB36*AC36</f>
        <v>125</v>
      </c>
      <c r="AE36" s="34">
        <f t="shared" ref="AE36:AE62" si="53">Z36+(Z36*$AE$69)</f>
        <v>46544.582879999994</v>
      </c>
      <c r="AF36" s="33">
        <f t="shared" ref="AF36:AF62" si="54">AB36*$AE36</f>
        <v>232722.91439999998</v>
      </c>
    </row>
    <row r="37" spans="1:32">
      <c r="A37" s="48" t="s">
        <v>37</v>
      </c>
      <c r="B37" s="48" t="s">
        <v>11</v>
      </c>
      <c r="C37" s="44"/>
      <c r="D37" s="31"/>
      <c r="E37" s="31"/>
      <c r="F37" s="45"/>
      <c r="G37" s="46">
        <f t="shared" si="40"/>
        <v>0</v>
      </c>
      <c r="H37" s="30">
        <v>3</v>
      </c>
      <c r="I37" s="47">
        <v>26</v>
      </c>
      <c r="J37" s="4">
        <f t="shared" si="41"/>
        <v>78</v>
      </c>
      <c r="K37" s="32">
        <v>43000</v>
      </c>
      <c r="L37" s="33">
        <f t="shared" si="42"/>
        <v>129000</v>
      </c>
      <c r="M37" s="30">
        <v>5</v>
      </c>
      <c r="N37" s="47">
        <v>25</v>
      </c>
      <c r="O37" s="4">
        <f t="shared" si="43"/>
        <v>125</v>
      </c>
      <c r="P37" s="34">
        <f t="shared" si="44"/>
        <v>43860</v>
      </c>
      <c r="Q37" s="33">
        <f t="shared" si="45"/>
        <v>219300</v>
      </c>
      <c r="R37" s="30">
        <v>5</v>
      </c>
      <c r="S37" s="47">
        <v>26</v>
      </c>
      <c r="T37" s="4">
        <f t="shared" si="46"/>
        <v>130</v>
      </c>
      <c r="U37" s="34">
        <f t="shared" si="47"/>
        <v>44737.2</v>
      </c>
      <c r="V37" s="33">
        <f t="shared" si="48"/>
        <v>223686</v>
      </c>
      <c r="W37" s="30">
        <v>5</v>
      </c>
      <c r="X37" s="47">
        <v>26</v>
      </c>
      <c r="Y37" s="4">
        <f t="shared" si="49"/>
        <v>130</v>
      </c>
      <c r="Z37" s="34">
        <f t="shared" si="50"/>
        <v>45631.943999999996</v>
      </c>
      <c r="AA37" s="33">
        <f t="shared" si="51"/>
        <v>228159.71999999997</v>
      </c>
      <c r="AB37" s="30">
        <v>5</v>
      </c>
      <c r="AC37" s="47">
        <v>26</v>
      </c>
      <c r="AD37" s="4">
        <f t="shared" si="52"/>
        <v>130</v>
      </c>
      <c r="AE37" s="34">
        <f t="shared" si="53"/>
        <v>46544.582879999994</v>
      </c>
      <c r="AF37" s="33">
        <f t="shared" si="54"/>
        <v>232722.91439999998</v>
      </c>
    </row>
    <row r="38" spans="1:32">
      <c r="A38" s="48" t="s">
        <v>38</v>
      </c>
      <c r="B38" s="48" t="s">
        <v>11</v>
      </c>
      <c r="C38" s="44"/>
      <c r="D38" s="31"/>
      <c r="E38" s="31"/>
      <c r="F38" s="45"/>
      <c r="G38" s="46">
        <f t="shared" si="40"/>
        <v>0</v>
      </c>
      <c r="H38" s="30">
        <v>3</v>
      </c>
      <c r="I38" s="47">
        <v>26</v>
      </c>
      <c r="J38" s="4">
        <f t="shared" si="41"/>
        <v>78</v>
      </c>
      <c r="K38" s="32">
        <v>43000</v>
      </c>
      <c r="L38" s="33">
        <f t="shared" si="42"/>
        <v>129000</v>
      </c>
      <c r="M38" s="30">
        <v>5</v>
      </c>
      <c r="N38" s="47">
        <v>25</v>
      </c>
      <c r="O38" s="4">
        <f t="shared" si="43"/>
        <v>125</v>
      </c>
      <c r="P38" s="34">
        <f t="shared" si="44"/>
        <v>43860</v>
      </c>
      <c r="Q38" s="33">
        <f t="shared" si="45"/>
        <v>219300</v>
      </c>
      <c r="R38" s="30">
        <v>5</v>
      </c>
      <c r="S38" s="47">
        <v>26</v>
      </c>
      <c r="T38" s="4">
        <f t="shared" si="46"/>
        <v>130</v>
      </c>
      <c r="U38" s="34">
        <f t="shared" si="47"/>
        <v>44737.2</v>
      </c>
      <c r="V38" s="33">
        <f t="shared" si="48"/>
        <v>223686</v>
      </c>
      <c r="W38" s="30">
        <v>5</v>
      </c>
      <c r="X38" s="47">
        <v>26</v>
      </c>
      <c r="Y38" s="4">
        <f t="shared" si="49"/>
        <v>130</v>
      </c>
      <c r="Z38" s="34">
        <f t="shared" si="50"/>
        <v>45631.943999999996</v>
      </c>
      <c r="AA38" s="33">
        <f t="shared" si="51"/>
        <v>228159.71999999997</v>
      </c>
      <c r="AB38" s="30">
        <v>5</v>
      </c>
      <c r="AC38" s="47">
        <v>26</v>
      </c>
      <c r="AD38" s="4">
        <f t="shared" si="52"/>
        <v>130</v>
      </c>
      <c r="AE38" s="34">
        <f t="shared" si="53"/>
        <v>46544.582879999994</v>
      </c>
      <c r="AF38" s="33">
        <f t="shared" si="54"/>
        <v>232722.91439999998</v>
      </c>
    </row>
    <row r="39" spans="1:32">
      <c r="A39" s="48" t="s">
        <v>39</v>
      </c>
      <c r="B39" s="48" t="s">
        <v>11</v>
      </c>
      <c r="C39" s="44"/>
      <c r="D39" s="31"/>
      <c r="E39" s="31"/>
      <c r="F39" s="45"/>
      <c r="G39" s="46">
        <f t="shared" si="40"/>
        <v>0</v>
      </c>
      <c r="H39" s="30">
        <v>3</v>
      </c>
      <c r="I39" s="47">
        <v>26</v>
      </c>
      <c r="J39" s="4">
        <f t="shared" si="41"/>
        <v>78</v>
      </c>
      <c r="K39" s="32">
        <v>43000</v>
      </c>
      <c r="L39" s="33">
        <f t="shared" si="42"/>
        <v>129000</v>
      </c>
      <c r="M39" s="30">
        <v>5</v>
      </c>
      <c r="N39" s="47">
        <v>25</v>
      </c>
      <c r="O39" s="4">
        <f t="shared" si="43"/>
        <v>125</v>
      </c>
      <c r="P39" s="34">
        <f t="shared" si="44"/>
        <v>43860</v>
      </c>
      <c r="Q39" s="33">
        <f t="shared" si="45"/>
        <v>219300</v>
      </c>
      <c r="R39" s="30">
        <v>5</v>
      </c>
      <c r="S39" s="47">
        <v>26</v>
      </c>
      <c r="T39" s="4">
        <f t="shared" si="46"/>
        <v>130</v>
      </c>
      <c r="U39" s="34">
        <f t="shared" si="47"/>
        <v>44737.2</v>
      </c>
      <c r="V39" s="33">
        <f t="shared" si="48"/>
        <v>223686</v>
      </c>
      <c r="W39" s="30">
        <v>5</v>
      </c>
      <c r="X39" s="47">
        <v>26</v>
      </c>
      <c r="Y39" s="4">
        <f t="shared" si="49"/>
        <v>130</v>
      </c>
      <c r="Z39" s="34">
        <f t="shared" si="50"/>
        <v>45631.943999999996</v>
      </c>
      <c r="AA39" s="33">
        <f t="shared" si="51"/>
        <v>228159.71999999997</v>
      </c>
      <c r="AB39" s="30">
        <v>5</v>
      </c>
      <c r="AC39" s="47">
        <v>26</v>
      </c>
      <c r="AD39" s="4">
        <f t="shared" si="52"/>
        <v>130</v>
      </c>
      <c r="AE39" s="34">
        <f t="shared" si="53"/>
        <v>46544.582879999994</v>
      </c>
      <c r="AF39" s="33">
        <f t="shared" si="54"/>
        <v>232722.91439999998</v>
      </c>
    </row>
    <row r="40" spans="1:32">
      <c r="A40" s="48" t="s">
        <v>40</v>
      </c>
      <c r="B40" s="48" t="s">
        <v>11</v>
      </c>
      <c r="C40" s="44"/>
      <c r="D40" s="31"/>
      <c r="E40" s="31"/>
      <c r="F40" s="45"/>
      <c r="G40" s="46">
        <f t="shared" si="40"/>
        <v>0</v>
      </c>
      <c r="H40" s="30">
        <v>2</v>
      </c>
      <c r="I40" s="47">
        <v>26</v>
      </c>
      <c r="J40" s="4">
        <f t="shared" si="41"/>
        <v>52</v>
      </c>
      <c r="K40" s="32">
        <v>43000</v>
      </c>
      <c r="L40" s="33">
        <f t="shared" si="42"/>
        <v>86000</v>
      </c>
      <c r="M40" s="30">
        <v>4</v>
      </c>
      <c r="N40" s="47">
        <v>25</v>
      </c>
      <c r="O40" s="4">
        <f t="shared" si="43"/>
        <v>100</v>
      </c>
      <c r="P40" s="34">
        <f t="shared" si="44"/>
        <v>43860</v>
      </c>
      <c r="Q40" s="33">
        <f t="shared" si="45"/>
        <v>175440</v>
      </c>
      <c r="R40" s="30">
        <v>5</v>
      </c>
      <c r="S40" s="47">
        <v>26</v>
      </c>
      <c r="T40" s="4">
        <f t="shared" si="46"/>
        <v>130</v>
      </c>
      <c r="U40" s="34">
        <f t="shared" si="47"/>
        <v>44737.2</v>
      </c>
      <c r="V40" s="33">
        <f t="shared" si="48"/>
        <v>223686</v>
      </c>
      <c r="W40" s="30">
        <v>5</v>
      </c>
      <c r="X40" s="47">
        <v>26</v>
      </c>
      <c r="Y40" s="4">
        <f t="shared" si="49"/>
        <v>130</v>
      </c>
      <c r="Z40" s="34">
        <f t="shared" si="50"/>
        <v>45631.943999999996</v>
      </c>
      <c r="AA40" s="33">
        <f t="shared" si="51"/>
        <v>228159.71999999997</v>
      </c>
      <c r="AB40" s="30">
        <v>5</v>
      </c>
      <c r="AC40" s="47">
        <v>26</v>
      </c>
      <c r="AD40" s="4">
        <f t="shared" si="52"/>
        <v>130</v>
      </c>
      <c r="AE40" s="34">
        <f t="shared" si="53"/>
        <v>46544.582879999994</v>
      </c>
      <c r="AF40" s="33">
        <f t="shared" si="54"/>
        <v>232722.91439999998</v>
      </c>
    </row>
    <row r="41" spans="1:32">
      <c r="A41" s="48" t="s">
        <v>41</v>
      </c>
      <c r="B41" s="48" t="s">
        <v>11</v>
      </c>
      <c r="C41" s="44"/>
      <c r="D41" s="31"/>
      <c r="E41" s="31"/>
      <c r="F41" s="45"/>
      <c r="G41" s="46">
        <f t="shared" si="40"/>
        <v>0</v>
      </c>
      <c r="H41" s="30">
        <v>2</v>
      </c>
      <c r="I41" s="47">
        <v>26</v>
      </c>
      <c r="J41" s="4">
        <f t="shared" si="41"/>
        <v>52</v>
      </c>
      <c r="K41" s="32">
        <v>43000</v>
      </c>
      <c r="L41" s="33">
        <f t="shared" si="42"/>
        <v>86000</v>
      </c>
      <c r="M41" s="30">
        <v>3</v>
      </c>
      <c r="N41" s="47">
        <v>25</v>
      </c>
      <c r="O41" s="4">
        <f t="shared" si="43"/>
        <v>75</v>
      </c>
      <c r="P41" s="34">
        <f t="shared" si="44"/>
        <v>43860</v>
      </c>
      <c r="Q41" s="33">
        <f t="shared" si="45"/>
        <v>131580</v>
      </c>
      <c r="R41" s="30">
        <v>5</v>
      </c>
      <c r="S41" s="47">
        <v>26</v>
      </c>
      <c r="T41" s="4">
        <f t="shared" si="46"/>
        <v>130</v>
      </c>
      <c r="U41" s="34">
        <f t="shared" si="47"/>
        <v>44737.2</v>
      </c>
      <c r="V41" s="33">
        <f t="shared" si="48"/>
        <v>223686</v>
      </c>
      <c r="W41" s="30">
        <v>5</v>
      </c>
      <c r="X41" s="47">
        <v>26</v>
      </c>
      <c r="Y41" s="4">
        <f t="shared" si="49"/>
        <v>130</v>
      </c>
      <c r="Z41" s="34">
        <f t="shared" si="50"/>
        <v>45631.943999999996</v>
      </c>
      <c r="AA41" s="33">
        <f t="shared" si="51"/>
        <v>228159.71999999997</v>
      </c>
      <c r="AB41" s="30">
        <v>5</v>
      </c>
      <c r="AC41" s="47">
        <v>26</v>
      </c>
      <c r="AD41" s="4">
        <f t="shared" si="52"/>
        <v>130</v>
      </c>
      <c r="AE41" s="34">
        <f t="shared" si="53"/>
        <v>46544.582879999994</v>
      </c>
      <c r="AF41" s="33">
        <f t="shared" si="54"/>
        <v>232722.91439999998</v>
      </c>
    </row>
    <row r="42" spans="1:32">
      <c r="A42" s="48" t="s">
        <v>42</v>
      </c>
      <c r="B42" s="48" t="s">
        <v>11</v>
      </c>
      <c r="C42" s="44"/>
      <c r="D42" s="31"/>
      <c r="E42" s="31"/>
      <c r="F42" s="45"/>
      <c r="G42" s="46">
        <f t="shared" si="40"/>
        <v>0</v>
      </c>
      <c r="H42" s="30">
        <v>2</v>
      </c>
      <c r="I42" s="47">
        <v>26</v>
      </c>
      <c r="J42" s="4">
        <f t="shared" si="41"/>
        <v>52</v>
      </c>
      <c r="K42" s="32">
        <v>43000</v>
      </c>
      <c r="L42" s="33">
        <f t="shared" si="42"/>
        <v>86000</v>
      </c>
      <c r="M42" s="30">
        <v>2</v>
      </c>
      <c r="N42" s="47">
        <v>25</v>
      </c>
      <c r="O42" s="4">
        <f t="shared" si="43"/>
        <v>50</v>
      </c>
      <c r="P42" s="34">
        <f t="shared" si="44"/>
        <v>43860</v>
      </c>
      <c r="Q42" s="33">
        <f t="shared" si="45"/>
        <v>87720</v>
      </c>
      <c r="R42" s="30">
        <v>5</v>
      </c>
      <c r="S42" s="47">
        <v>26</v>
      </c>
      <c r="T42" s="4">
        <f t="shared" si="46"/>
        <v>130</v>
      </c>
      <c r="U42" s="34">
        <f t="shared" si="47"/>
        <v>44737.2</v>
      </c>
      <c r="V42" s="33">
        <f t="shared" si="48"/>
        <v>223686</v>
      </c>
      <c r="W42" s="30">
        <v>5</v>
      </c>
      <c r="X42" s="47">
        <v>25</v>
      </c>
      <c r="Y42" s="4">
        <f t="shared" si="49"/>
        <v>125</v>
      </c>
      <c r="Z42" s="34">
        <f t="shared" si="50"/>
        <v>45631.943999999996</v>
      </c>
      <c r="AA42" s="33">
        <f t="shared" si="51"/>
        <v>228159.71999999997</v>
      </c>
      <c r="AB42" s="30">
        <v>5</v>
      </c>
      <c r="AC42" s="47">
        <v>25</v>
      </c>
      <c r="AD42" s="4">
        <f t="shared" si="52"/>
        <v>125</v>
      </c>
      <c r="AE42" s="34">
        <f t="shared" si="53"/>
        <v>46544.582879999994</v>
      </c>
      <c r="AF42" s="33">
        <f t="shared" si="54"/>
        <v>232722.91439999998</v>
      </c>
    </row>
    <row r="43" spans="1:32">
      <c r="A43" s="272" t="s">
        <v>485</v>
      </c>
      <c r="B43" s="28" t="s">
        <v>11</v>
      </c>
      <c r="C43" s="44"/>
      <c r="D43" s="31"/>
      <c r="E43" s="31"/>
      <c r="F43" s="45"/>
      <c r="G43" s="46">
        <f t="shared" si="40"/>
        <v>0</v>
      </c>
      <c r="H43" s="30">
        <v>0</v>
      </c>
      <c r="I43" s="31"/>
      <c r="J43" s="4">
        <f t="shared" si="41"/>
        <v>0</v>
      </c>
      <c r="K43" s="32">
        <v>43000</v>
      </c>
      <c r="L43" s="33">
        <f t="shared" si="42"/>
        <v>0</v>
      </c>
      <c r="M43" s="30">
        <v>2</v>
      </c>
      <c r="N43" s="31">
        <v>22</v>
      </c>
      <c r="O43" s="4">
        <f t="shared" si="43"/>
        <v>44</v>
      </c>
      <c r="P43" s="34">
        <f t="shared" si="44"/>
        <v>43860</v>
      </c>
      <c r="Q43" s="33">
        <f t="shared" si="45"/>
        <v>87720</v>
      </c>
      <c r="R43" s="30">
        <v>3</v>
      </c>
      <c r="S43" s="31">
        <v>22</v>
      </c>
      <c r="T43" s="4">
        <f t="shared" si="46"/>
        <v>66</v>
      </c>
      <c r="U43" s="34">
        <f t="shared" si="47"/>
        <v>44737.2</v>
      </c>
      <c r="V43" s="33">
        <f t="shared" si="48"/>
        <v>134211.59999999998</v>
      </c>
      <c r="W43" s="30">
        <v>5</v>
      </c>
      <c r="X43" s="31">
        <v>22</v>
      </c>
      <c r="Y43" s="4">
        <f t="shared" si="49"/>
        <v>110</v>
      </c>
      <c r="Z43" s="34">
        <f t="shared" si="50"/>
        <v>45631.943999999996</v>
      </c>
      <c r="AA43" s="33">
        <f t="shared" si="51"/>
        <v>228159.71999999997</v>
      </c>
      <c r="AB43" s="30">
        <v>5</v>
      </c>
      <c r="AC43" s="31">
        <v>23</v>
      </c>
      <c r="AD43" s="4">
        <f t="shared" si="52"/>
        <v>115</v>
      </c>
      <c r="AE43" s="34">
        <f t="shared" si="53"/>
        <v>46544.582879999994</v>
      </c>
      <c r="AF43" s="33">
        <f t="shared" si="54"/>
        <v>232722.91439999998</v>
      </c>
    </row>
    <row r="44" spans="1:32">
      <c r="A44" s="272" t="s">
        <v>486</v>
      </c>
      <c r="B44" s="28" t="s">
        <v>11</v>
      </c>
      <c r="C44" s="44"/>
      <c r="D44" s="31"/>
      <c r="E44" s="31"/>
      <c r="F44" s="45"/>
      <c r="G44" s="46">
        <f t="shared" si="40"/>
        <v>0</v>
      </c>
      <c r="H44" s="30">
        <v>0</v>
      </c>
      <c r="I44" s="31"/>
      <c r="J44" s="4">
        <f t="shared" si="41"/>
        <v>0</v>
      </c>
      <c r="K44" s="32">
        <v>43000</v>
      </c>
      <c r="L44" s="33">
        <f t="shared" si="42"/>
        <v>0</v>
      </c>
      <c r="M44" s="30">
        <v>1</v>
      </c>
      <c r="N44" s="31">
        <v>22</v>
      </c>
      <c r="O44" s="4">
        <f t="shared" si="43"/>
        <v>22</v>
      </c>
      <c r="P44" s="34">
        <f t="shared" si="44"/>
        <v>43860</v>
      </c>
      <c r="Q44" s="33">
        <f t="shared" si="45"/>
        <v>43860</v>
      </c>
      <c r="R44" s="30">
        <v>2</v>
      </c>
      <c r="S44" s="31">
        <v>22</v>
      </c>
      <c r="T44" s="4">
        <f t="shared" si="46"/>
        <v>44</v>
      </c>
      <c r="U44" s="34">
        <f t="shared" si="47"/>
        <v>44737.2</v>
      </c>
      <c r="V44" s="33">
        <f t="shared" si="48"/>
        <v>89474.4</v>
      </c>
      <c r="W44" s="30">
        <v>3</v>
      </c>
      <c r="X44" s="31">
        <v>22</v>
      </c>
      <c r="Y44" s="4">
        <f t="shared" si="49"/>
        <v>66</v>
      </c>
      <c r="Z44" s="34">
        <f t="shared" si="50"/>
        <v>45631.943999999996</v>
      </c>
      <c r="AA44" s="33">
        <f t="shared" si="51"/>
        <v>136895.83199999999</v>
      </c>
      <c r="AB44" s="30">
        <v>5</v>
      </c>
      <c r="AC44" s="31">
        <v>23</v>
      </c>
      <c r="AD44" s="4">
        <f t="shared" si="52"/>
        <v>115</v>
      </c>
      <c r="AE44" s="34">
        <f t="shared" si="53"/>
        <v>46544.582879999994</v>
      </c>
      <c r="AF44" s="33">
        <f t="shared" si="54"/>
        <v>232722.91439999998</v>
      </c>
    </row>
    <row r="45" spans="1:32">
      <c r="A45" s="272" t="s">
        <v>487</v>
      </c>
      <c r="B45" s="28" t="s">
        <v>11</v>
      </c>
      <c r="C45" s="44"/>
      <c r="D45" s="31"/>
      <c r="E45" s="31"/>
      <c r="F45" s="45"/>
      <c r="G45" s="46">
        <f t="shared" si="40"/>
        <v>0</v>
      </c>
      <c r="H45" s="30">
        <v>0</v>
      </c>
      <c r="I45" s="31"/>
      <c r="J45" s="4">
        <f t="shared" si="41"/>
        <v>0</v>
      </c>
      <c r="K45" s="32">
        <v>37000</v>
      </c>
      <c r="L45" s="33">
        <f t="shared" si="42"/>
        <v>0</v>
      </c>
      <c r="M45" s="30">
        <v>1</v>
      </c>
      <c r="N45" s="31"/>
      <c r="O45" s="49">
        <v>0</v>
      </c>
      <c r="P45" s="34">
        <f t="shared" si="44"/>
        <v>37740</v>
      </c>
      <c r="Q45" s="33">
        <f t="shared" si="45"/>
        <v>37740</v>
      </c>
      <c r="R45" s="30">
        <v>2</v>
      </c>
      <c r="S45" s="31"/>
      <c r="T45" s="49">
        <v>0</v>
      </c>
      <c r="U45" s="34">
        <f t="shared" si="47"/>
        <v>38494.800000000003</v>
      </c>
      <c r="V45" s="33">
        <f t="shared" si="48"/>
        <v>76989.600000000006</v>
      </c>
      <c r="W45" s="30">
        <v>2</v>
      </c>
      <c r="X45" s="31"/>
      <c r="Y45" s="49">
        <v>0</v>
      </c>
      <c r="Z45" s="34">
        <f t="shared" si="50"/>
        <v>39264.696000000004</v>
      </c>
      <c r="AA45" s="33">
        <f t="shared" si="51"/>
        <v>78529.392000000007</v>
      </c>
      <c r="AB45" s="30">
        <v>2</v>
      </c>
      <c r="AC45" s="31"/>
      <c r="AD45" s="49">
        <v>0</v>
      </c>
      <c r="AE45" s="34">
        <f t="shared" si="53"/>
        <v>40049.989920000007</v>
      </c>
      <c r="AF45" s="33">
        <f t="shared" si="54"/>
        <v>80099.979840000015</v>
      </c>
    </row>
    <row r="46" spans="1:32">
      <c r="A46" s="273" t="s">
        <v>488</v>
      </c>
      <c r="B46" s="28" t="s">
        <v>11</v>
      </c>
      <c r="C46" s="44"/>
      <c r="D46" s="31"/>
      <c r="E46" s="31"/>
      <c r="F46" s="45"/>
      <c r="G46" s="46">
        <f t="shared" si="40"/>
        <v>0</v>
      </c>
      <c r="H46" s="30">
        <v>0</v>
      </c>
      <c r="I46" s="31"/>
      <c r="J46" s="4">
        <f t="shared" si="41"/>
        <v>0</v>
      </c>
      <c r="K46" s="32">
        <v>37000</v>
      </c>
      <c r="L46" s="33">
        <f t="shared" si="42"/>
        <v>0</v>
      </c>
      <c r="M46" s="30">
        <v>1</v>
      </c>
      <c r="N46" s="31"/>
      <c r="O46" s="49">
        <v>0</v>
      </c>
      <c r="P46" s="34">
        <f t="shared" si="44"/>
        <v>37740</v>
      </c>
      <c r="Q46" s="33">
        <f t="shared" si="45"/>
        <v>37740</v>
      </c>
      <c r="R46" s="30">
        <v>1</v>
      </c>
      <c r="S46" s="31"/>
      <c r="T46" s="49">
        <v>0</v>
      </c>
      <c r="U46" s="34">
        <f t="shared" si="47"/>
        <v>38494.800000000003</v>
      </c>
      <c r="V46" s="33">
        <f t="shared" si="48"/>
        <v>38494.800000000003</v>
      </c>
      <c r="W46" s="30">
        <v>1</v>
      </c>
      <c r="X46" s="31"/>
      <c r="Y46" s="49">
        <v>0</v>
      </c>
      <c r="Z46" s="34">
        <f t="shared" si="50"/>
        <v>39264.696000000004</v>
      </c>
      <c r="AA46" s="33">
        <f t="shared" si="51"/>
        <v>39264.696000000004</v>
      </c>
      <c r="AB46" s="30">
        <v>1</v>
      </c>
      <c r="AC46" s="31"/>
      <c r="AD46" s="49">
        <v>0</v>
      </c>
      <c r="AE46" s="34">
        <f t="shared" si="53"/>
        <v>40049.989920000007</v>
      </c>
      <c r="AF46" s="33">
        <f t="shared" si="54"/>
        <v>40049.989920000007</v>
      </c>
    </row>
    <row r="47" spans="1:32">
      <c r="A47" s="28" t="s">
        <v>43</v>
      </c>
      <c r="B47" s="28" t="s">
        <v>11</v>
      </c>
      <c r="C47" s="44"/>
      <c r="D47" s="31"/>
      <c r="E47" s="31"/>
      <c r="F47" s="45"/>
      <c r="G47" s="46">
        <f t="shared" si="40"/>
        <v>0</v>
      </c>
      <c r="H47" s="30">
        <v>0</v>
      </c>
      <c r="I47" s="31"/>
      <c r="J47" s="4">
        <f t="shared" si="41"/>
        <v>0</v>
      </c>
      <c r="K47" s="32">
        <v>0</v>
      </c>
      <c r="L47" s="33">
        <f t="shared" si="42"/>
        <v>0</v>
      </c>
      <c r="M47" s="30">
        <v>0</v>
      </c>
      <c r="N47" s="31"/>
      <c r="O47" s="49">
        <v>0</v>
      </c>
      <c r="P47" s="34">
        <f t="shared" si="44"/>
        <v>0</v>
      </c>
      <c r="Q47" s="33">
        <f t="shared" si="45"/>
        <v>0</v>
      </c>
      <c r="R47" s="30">
        <v>0</v>
      </c>
      <c r="S47" s="31"/>
      <c r="T47" s="49">
        <v>0</v>
      </c>
      <c r="U47" s="34">
        <f t="shared" si="47"/>
        <v>0</v>
      </c>
      <c r="V47" s="33">
        <f t="shared" si="48"/>
        <v>0</v>
      </c>
      <c r="W47" s="30">
        <v>0</v>
      </c>
      <c r="X47" s="31"/>
      <c r="Y47" s="49">
        <v>0</v>
      </c>
      <c r="Z47" s="34">
        <f t="shared" si="50"/>
        <v>0</v>
      </c>
      <c r="AA47" s="33">
        <f t="shared" si="51"/>
        <v>0</v>
      </c>
      <c r="AB47" s="30">
        <v>0</v>
      </c>
      <c r="AC47" s="31"/>
      <c r="AD47" s="49">
        <v>0</v>
      </c>
      <c r="AE47" s="34">
        <f t="shared" si="53"/>
        <v>0</v>
      </c>
      <c r="AF47" s="33">
        <f t="shared" si="54"/>
        <v>0</v>
      </c>
    </row>
    <row r="48" spans="1:32">
      <c r="A48" s="28" t="s">
        <v>44</v>
      </c>
      <c r="B48" s="28" t="s">
        <v>11</v>
      </c>
      <c r="C48" s="44"/>
      <c r="D48" s="31"/>
      <c r="E48" s="31"/>
      <c r="F48" s="45"/>
      <c r="G48" s="46">
        <f t="shared" si="40"/>
        <v>0</v>
      </c>
      <c r="H48" s="30">
        <v>0</v>
      </c>
      <c r="I48" s="31"/>
      <c r="J48" s="4">
        <f t="shared" si="41"/>
        <v>0</v>
      </c>
      <c r="K48" s="32">
        <v>0</v>
      </c>
      <c r="L48" s="33">
        <f t="shared" si="42"/>
        <v>0</v>
      </c>
      <c r="M48" s="30">
        <v>0</v>
      </c>
      <c r="N48" s="31"/>
      <c r="O48" s="49">
        <v>0</v>
      </c>
      <c r="P48" s="34">
        <f t="shared" si="44"/>
        <v>0</v>
      </c>
      <c r="Q48" s="33">
        <f t="shared" si="45"/>
        <v>0</v>
      </c>
      <c r="R48" s="30">
        <v>0</v>
      </c>
      <c r="S48" s="31"/>
      <c r="T48" s="49">
        <v>0</v>
      </c>
      <c r="U48" s="34">
        <f t="shared" si="47"/>
        <v>0</v>
      </c>
      <c r="V48" s="33">
        <f t="shared" si="48"/>
        <v>0</v>
      </c>
      <c r="W48" s="30">
        <v>0</v>
      </c>
      <c r="X48" s="31"/>
      <c r="Y48" s="49">
        <v>0</v>
      </c>
      <c r="Z48" s="34">
        <f t="shared" si="50"/>
        <v>0</v>
      </c>
      <c r="AA48" s="33">
        <f t="shared" si="51"/>
        <v>0</v>
      </c>
      <c r="AB48" s="30">
        <v>0</v>
      </c>
      <c r="AC48" s="31"/>
      <c r="AD48" s="49">
        <v>0</v>
      </c>
      <c r="AE48" s="34">
        <f t="shared" si="53"/>
        <v>0</v>
      </c>
      <c r="AF48" s="33">
        <f t="shared" si="54"/>
        <v>0</v>
      </c>
    </row>
    <row r="49" spans="1:32">
      <c r="A49" s="28" t="s">
        <v>45</v>
      </c>
      <c r="B49" s="28" t="s">
        <v>11</v>
      </c>
      <c r="C49" s="44"/>
      <c r="D49" s="31"/>
      <c r="E49" s="31"/>
      <c r="F49" s="45"/>
      <c r="G49" s="46">
        <f t="shared" si="40"/>
        <v>0</v>
      </c>
      <c r="H49" s="30">
        <v>0</v>
      </c>
      <c r="I49" s="31"/>
      <c r="J49" s="4">
        <f t="shared" si="41"/>
        <v>0</v>
      </c>
      <c r="K49" s="32">
        <v>0</v>
      </c>
      <c r="L49" s="33">
        <f t="shared" si="42"/>
        <v>0</v>
      </c>
      <c r="M49" s="30">
        <v>0</v>
      </c>
      <c r="N49" s="31"/>
      <c r="O49" s="49">
        <v>0</v>
      </c>
      <c r="P49" s="34">
        <f t="shared" si="44"/>
        <v>0</v>
      </c>
      <c r="Q49" s="33">
        <f t="shared" si="45"/>
        <v>0</v>
      </c>
      <c r="R49" s="30">
        <v>0</v>
      </c>
      <c r="S49" s="31"/>
      <c r="T49" s="49">
        <v>0</v>
      </c>
      <c r="U49" s="34">
        <f t="shared" si="47"/>
        <v>0</v>
      </c>
      <c r="V49" s="33">
        <f t="shared" si="48"/>
        <v>0</v>
      </c>
      <c r="W49" s="30">
        <v>0</v>
      </c>
      <c r="X49" s="31"/>
      <c r="Y49" s="49">
        <v>0</v>
      </c>
      <c r="Z49" s="34">
        <f t="shared" si="50"/>
        <v>0</v>
      </c>
      <c r="AA49" s="33">
        <f t="shared" si="51"/>
        <v>0</v>
      </c>
      <c r="AB49" s="30">
        <v>0</v>
      </c>
      <c r="AC49" s="31"/>
      <c r="AD49" s="49">
        <v>0</v>
      </c>
      <c r="AE49" s="34">
        <f t="shared" si="53"/>
        <v>0</v>
      </c>
      <c r="AF49" s="33">
        <f t="shared" si="54"/>
        <v>0</v>
      </c>
    </row>
    <row r="50" spans="1:32">
      <c r="A50" s="28" t="s">
        <v>46</v>
      </c>
      <c r="B50" s="28" t="s">
        <v>11</v>
      </c>
      <c r="C50" s="44"/>
      <c r="D50" s="31"/>
      <c r="E50" s="31"/>
      <c r="F50" s="45"/>
      <c r="G50" s="46">
        <f t="shared" si="40"/>
        <v>0</v>
      </c>
      <c r="H50" s="30">
        <v>0</v>
      </c>
      <c r="I50" s="31"/>
      <c r="J50" s="4">
        <f t="shared" si="41"/>
        <v>0</v>
      </c>
      <c r="K50" s="32">
        <v>0</v>
      </c>
      <c r="L50" s="33">
        <f t="shared" si="42"/>
        <v>0</v>
      </c>
      <c r="M50" s="30">
        <v>0</v>
      </c>
      <c r="N50" s="31"/>
      <c r="O50" s="49">
        <v>0</v>
      </c>
      <c r="P50" s="34">
        <f t="shared" si="44"/>
        <v>0</v>
      </c>
      <c r="Q50" s="33">
        <f t="shared" si="45"/>
        <v>0</v>
      </c>
      <c r="R50" s="30">
        <v>0</v>
      </c>
      <c r="S50" s="31"/>
      <c r="T50" s="49">
        <v>0</v>
      </c>
      <c r="U50" s="34">
        <f t="shared" si="47"/>
        <v>0</v>
      </c>
      <c r="V50" s="33">
        <f t="shared" si="48"/>
        <v>0</v>
      </c>
      <c r="W50" s="30">
        <v>0</v>
      </c>
      <c r="X50" s="31"/>
      <c r="Y50" s="49">
        <v>0</v>
      </c>
      <c r="Z50" s="34">
        <f t="shared" si="50"/>
        <v>0</v>
      </c>
      <c r="AA50" s="33">
        <f t="shared" si="51"/>
        <v>0</v>
      </c>
      <c r="AB50" s="30">
        <v>0</v>
      </c>
      <c r="AC50" s="31"/>
      <c r="AD50" s="49">
        <v>0</v>
      </c>
      <c r="AE50" s="34">
        <f t="shared" si="53"/>
        <v>0</v>
      </c>
      <c r="AF50" s="33">
        <f t="shared" si="54"/>
        <v>0</v>
      </c>
    </row>
    <row r="51" spans="1:32">
      <c r="A51" s="28" t="s">
        <v>47</v>
      </c>
      <c r="B51" s="28" t="s">
        <v>11</v>
      </c>
      <c r="C51" s="44"/>
      <c r="D51" s="31"/>
      <c r="E51" s="31"/>
      <c r="F51" s="45"/>
      <c r="G51" s="46">
        <f t="shared" si="40"/>
        <v>0</v>
      </c>
      <c r="H51" s="30">
        <v>0</v>
      </c>
      <c r="I51" s="31"/>
      <c r="J51" s="4">
        <f t="shared" si="41"/>
        <v>0</v>
      </c>
      <c r="K51" s="32">
        <v>0</v>
      </c>
      <c r="L51" s="33">
        <f t="shared" si="42"/>
        <v>0</v>
      </c>
      <c r="M51" s="30">
        <v>0</v>
      </c>
      <c r="N51" s="31"/>
      <c r="O51" s="49">
        <v>0</v>
      </c>
      <c r="P51" s="34">
        <f t="shared" si="44"/>
        <v>0</v>
      </c>
      <c r="Q51" s="33">
        <f t="shared" si="45"/>
        <v>0</v>
      </c>
      <c r="R51" s="30">
        <v>0</v>
      </c>
      <c r="S51" s="31"/>
      <c r="T51" s="49">
        <v>0</v>
      </c>
      <c r="U51" s="34">
        <f t="shared" si="47"/>
        <v>0</v>
      </c>
      <c r="V51" s="33">
        <f t="shared" si="48"/>
        <v>0</v>
      </c>
      <c r="W51" s="30">
        <v>0</v>
      </c>
      <c r="X51" s="31"/>
      <c r="Y51" s="49">
        <v>0</v>
      </c>
      <c r="Z51" s="34">
        <f t="shared" si="50"/>
        <v>0</v>
      </c>
      <c r="AA51" s="33">
        <f t="shared" si="51"/>
        <v>0</v>
      </c>
      <c r="AB51" s="30">
        <v>0</v>
      </c>
      <c r="AC51" s="31"/>
      <c r="AD51" s="49">
        <v>0</v>
      </c>
      <c r="AE51" s="34">
        <f t="shared" si="53"/>
        <v>0</v>
      </c>
      <c r="AF51" s="33">
        <f t="shared" si="54"/>
        <v>0</v>
      </c>
    </row>
    <row r="52" spans="1:32">
      <c r="A52" s="28" t="s">
        <v>48</v>
      </c>
      <c r="B52" s="28" t="s">
        <v>11</v>
      </c>
      <c r="C52" s="44"/>
      <c r="D52" s="31"/>
      <c r="E52" s="31"/>
      <c r="F52" s="45"/>
      <c r="G52" s="46">
        <f t="shared" si="40"/>
        <v>0</v>
      </c>
      <c r="H52" s="30">
        <v>0</v>
      </c>
      <c r="I52" s="31"/>
      <c r="J52" s="4">
        <f t="shared" si="41"/>
        <v>0</v>
      </c>
      <c r="K52" s="32">
        <v>0</v>
      </c>
      <c r="L52" s="33">
        <f t="shared" si="42"/>
        <v>0</v>
      </c>
      <c r="M52" s="30">
        <v>0</v>
      </c>
      <c r="N52" s="31"/>
      <c r="O52" s="49">
        <v>0</v>
      </c>
      <c r="P52" s="34">
        <f t="shared" si="44"/>
        <v>0</v>
      </c>
      <c r="Q52" s="33">
        <f t="shared" si="45"/>
        <v>0</v>
      </c>
      <c r="R52" s="30">
        <v>0</v>
      </c>
      <c r="S52" s="31"/>
      <c r="T52" s="49">
        <v>0</v>
      </c>
      <c r="U52" s="34">
        <f t="shared" si="47"/>
        <v>0</v>
      </c>
      <c r="V52" s="33">
        <f t="shared" si="48"/>
        <v>0</v>
      </c>
      <c r="W52" s="30">
        <v>0</v>
      </c>
      <c r="X52" s="31"/>
      <c r="Y52" s="49">
        <v>0</v>
      </c>
      <c r="Z52" s="34">
        <f t="shared" si="50"/>
        <v>0</v>
      </c>
      <c r="AA52" s="33">
        <f t="shared" si="51"/>
        <v>0</v>
      </c>
      <c r="AB52" s="30">
        <v>0</v>
      </c>
      <c r="AC52" s="31"/>
      <c r="AD52" s="49">
        <v>0</v>
      </c>
      <c r="AE52" s="34">
        <f t="shared" si="53"/>
        <v>0</v>
      </c>
      <c r="AF52" s="33">
        <f t="shared" si="54"/>
        <v>0</v>
      </c>
    </row>
    <row r="53" spans="1:32">
      <c r="A53" s="28" t="s">
        <v>48</v>
      </c>
      <c r="B53" s="28" t="s">
        <v>11</v>
      </c>
      <c r="C53" s="44"/>
      <c r="D53" s="31"/>
      <c r="E53" s="31"/>
      <c r="F53" s="45"/>
      <c r="G53" s="46">
        <f t="shared" si="40"/>
        <v>0</v>
      </c>
      <c r="H53" s="30">
        <v>0</v>
      </c>
      <c r="I53" s="31"/>
      <c r="J53" s="4">
        <f t="shared" si="41"/>
        <v>0</v>
      </c>
      <c r="K53" s="32">
        <v>0</v>
      </c>
      <c r="L53" s="33">
        <f t="shared" si="42"/>
        <v>0</v>
      </c>
      <c r="M53" s="30">
        <v>0</v>
      </c>
      <c r="N53" s="31"/>
      <c r="O53" s="49">
        <v>0</v>
      </c>
      <c r="P53" s="34">
        <f t="shared" si="44"/>
        <v>0</v>
      </c>
      <c r="Q53" s="33">
        <f t="shared" si="45"/>
        <v>0</v>
      </c>
      <c r="R53" s="30">
        <v>0</v>
      </c>
      <c r="S53" s="31"/>
      <c r="T53" s="49">
        <v>0</v>
      </c>
      <c r="U53" s="34">
        <f t="shared" si="47"/>
        <v>0</v>
      </c>
      <c r="V53" s="33">
        <f t="shared" si="48"/>
        <v>0</v>
      </c>
      <c r="W53" s="30">
        <v>0</v>
      </c>
      <c r="X53" s="31"/>
      <c r="Y53" s="49">
        <v>0</v>
      </c>
      <c r="Z53" s="34">
        <f t="shared" si="50"/>
        <v>0</v>
      </c>
      <c r="AA53" s="33">
        <f t="shared" si="51"/>
        <v>0</v>
      </c>
      <c r="AB53" s="30">
        <v>0</v>
      </c>
      <c r="AC53" s="31"/>
      <c r="AD53" s="49">
        <v>0</v>
      </c>
      <c r="AE53" s="34">
        <f t="shared" si="53"/>
        <v>0</v>
      </c>
      <c r="AF53" s="33">
        <f t="shared" si="54"/>
        <v>0</v>
      </c>
    </row>
    <row r="54" spans="1:32">
      <c r="A54" s="28" t="s">
        <v>49</v>
      </c>
      <c r="B54" s="28" t="s">
        <v>11</v>
      </c>
      <c r="C54" s="44"/>
      <c r="D54" s="31"/>
      <c r="E54" s="31"/>
      <c r="F54" s="45"/>
      <c r="G54" s="46">
        <f t="shared" si="40"/>
        <v>0</v>
      </c>
      <c r="H54" s="30">
        <v>1</v>
      </c>
      <c r="I54" s="31"/>
      <c r="J54" s="4">
        <f t="shared" si="41"/>
        <v>0</v>
      </c>
      <c r="K54" s="32">
        <v>50000</v>
      </c>
      <c r="L54" s="33">
        <f t="shared" si="42"/>
        <v>50000</v>
      </c>
      <c r="M54" s="30">
        <v>2</v>
      </c>
      <c r="N54" s="31"/>
      <c r="O54" s="49">
        <v>0</v>
      </c>
      <c r="P54" s="34">
        <f t="shared" si="44"/>
        <v>51000</v>
      </c>
      <c r="Q54" s="33">
        <f t="shared" si="45"/>
        <v>102000</v>
      </c>
      <c r="R54" s="30">
        <v>3</v>
      </c>
      <c r="S54" s="31"/>
      <c r="T54" s="49">
        <v>0</v>
      </c>
      <c r="U54" s="34">
        <f t="shared" si="47"/>
        <v>52020</v>
      </c>
      <c r="V54" s="33">
        <f t="shared" si="48"/>
        <v>156060</v>
      </c>
      <c r="W54" s="30">
        <v>3</v>
      </c>
      <c r="X54" s="31"/>
      <c r="Y54" s="49">
        <v>0</v>
      </c>
      <c r="Z54" s="34">
        <f t="shared" si="50"/>
        <v>53060.4</v>
      </c>
      <c r="AA54" s="33">
        <f t="shared" si="51"/>
        <v>159181.20000000001</v>
      </c>
      <c r="AB54" s="30">
        <v>3</v>
      </c>
      <c r="AC54" s="31"/>
      <c r="AD54" s="49">
        <v>0</v>
      </c>
      <c r="AE54" s="34">
        <f t="shared" si="53"/>
        <v>54121.608</v>
      </c>
      <c r="AF54" s="33">
        <f t="shared" si="54"/>
        <v>162364.82399999999</v>
      </c>
    </row>
    <row r="55" spans="1:32">
      <c r="A55" s="35" t="s">
        <v>456</v>
      </c>
      <c r="B55" s="28" t="s">
        <v>11</v>
      </c>
      <c r="C55" s="44"/>
      <c r="D55" s="31"/>
      <c r="E55" s="31"/>
      <c r="F55" s="45"/>
      <c r="G55" s="46">
        <f t="shared" si="40"/>
        <v>0</v>
      </c>
      <c r="H55" s="30">
        <v>1</v>
      </c>
      <c r="I55" s="31">
        <v>25</v>
      </c>
      <c r="J55" s="4">
        <f t="shared" si="41"/>
        <v>25</v>
      </c>
      <c r="K55" s="32">
        <v>43000</v>
      </c>
      <c r="L55" s="33">
        <f t="shared" si="42"/>
        <v>43000</v>
      </c>
      <c r="M55" s="30">
        <v>0</v>
      </c>
      <c r="N55" s="31"/>
      <c r="O55" s="49">
        <v>0</v>
      </c>
      <c r="P55" s="34">
        <f t="shared" si="44"/>
        <v>43860</v>
      </c>
      <c r="Q55" s="33">
        <f t="shared" si="45"/>
        <v>0</v>
      </c>
      <c r="R55" s="30">
        <v>0</v>
      </c>
      <c r="S55" s="31"/>
      <c r="T55" s="49">
        <v>0</v>
      </c>
      <c r="U55" s="34">
        <f t="shared" si="47"/>
        <v>44737.2</v>
      </c>
      <c r="V55" s="33">
        <f t="shared" si="48"/>
        <v>0</v>
      </c>
      <c r="W55" s="30">
        <v>0</v>
      </c>
      <c r="X55" s="31"/>
      <c r="Y55" s="49">
        <v>0</v>
      </c>
      <c r="Z55" s="34">
        <f t="shared" si="50"/>
        <v>45631.943999999996</v>
      </c>
      <c r="AA55" s="33">
        <f t="shared" si="51"/>
        <v>0</v>
      </c>
      <c r="AB55" s="30">
        <v>0</v>
      </c>
      <c r="AC55" s="31"/>
      <c r="AD55" s="49">
        <v>0</v>
      </c>
      <c r="AE55" s="34">
        <f t="shared" si="53"/>
        <v>46544.582879999994</v>
      </c>
      <c r="AF55" s="33">
        <f t="shared" si="54"/>
        <v>0</v>
      </c>
    </row>
    <row r="56" spans="1:32">
      <c r="A56" s="35" t="s">
        <v>457</v>
      </c>
      <c r="B56" s="28" t="s">
        <v>11</v>
      </c>
      <c r="C56" s="44"/>
      <c r="D56" s="31"/>
      <c r="E56" s="31"/>
      <c r="F56" s="45"/>
      <c r="G56" s="46">
        <f t="shared" si="40"/>
        <v>0</v>
      </c>
      <c r="H56" s="30">
        <v>1</v>
      </c>
      <c r="I56" s="31"/>
      <c r="J56" s="4">
        <f t="shared" si="41"/>
        <v>0</v>
      </c>
      <c r="K56" s="32">
        <v>35000</v>
      </c>
      <c r="L56" s="33">
        <f t="shared" si="42"/>
        <v>35000</v>
      </c>
      <c r="M56" s="30">
        <v>1</v>
      </c>
      <c r="N56" s="31"/>
      <c r="O56" s="49">
        <v>0</v>
      </c>
      <c r="P56" s="34">
        <f t="shared" si="44"/>
        <v>35700</v>
      </c>
      <c r="Q56" s="33">
        <f t="shared" si="45"/>
        <v>35700</v>
      </c>
      <c r="R56" s="30">
        <v>2</v>
      </c>
      <c r="S56" s="31"/>
      <c r="T56" s="49">
        <v>0</v>
      </c>
      <c r="U56" s="34">
        <f t="shared" si="47"/>
        <v>36414</v>
      </c>
      <c r="V56" s="33">
        <f t="shared" si="48"/>
        <v>72828</v>
      </c>
      <c r="W56" s="30">
        <v>2</v>
      </c>
      <c r="X56" s="31"/>
      <c r="Y56" s="49">
        <v>0</v>
      </c>
      <c r="Z56" s="34">
        <f t="shared" si="50"/>
        <v>37142.28</v>
      </c>
      <c r="AA56" s="33">
        <f t="shared" si="51"/>
        <v>74284.56</v>
      </c>
      <c r="AB56" s="30">
        <v>2</v>
      </c>
      <c r="AC56" s="31"/>
      <c r="AD56" s="49">
        <v>0</v>
      </c>
      <c r="AE56" s="34">
        <f t="shared" si="53"/>
        <v>37885.125599999999</v>
      </c>
      <c r="AF56" s="33">
        <f t="shared" si="54"/>
        <v>75770.251199999999</v>
      </c>
    </row>
    <row r="57" spans="1:32">
      <c r="A57" s="35" t="s">
        <v>458</v>
      </c>
      <c r="B57" s="28" t="s">
        <v>11</v>
      </c>
      <c r="C57" s="44"/>
      <c r="D57" s="31"/>
      <c r="E57" s="31"/>
      <c r="F57" s="45"/>
      <c r="G57" s="46">
        <f t="shared" si="40"/>
        <v>0</v>
      </c>
      <c r="H57" s="30">
        <v>1</v>
      </c>
      <c r="I57" s="31"/>
      <c r="J57" s="4">
        <f t="shared" si="41"/>
        <v>0</v>
      </c>
      <c r="K57" s="32">
        <v>35000</v>
      </c>
      <c r="L57" s="33">
        <f t="shared" si="42"/>
        <v>35000</v>
      </c>
      <c r="M57" s="30">
        <v>1</v>
      </c>
      <c r="N57" s="31"/>
      <c r="O57" s="49">
        <v>0</v>
      </c>
      <c r="P57" s="34">
        <f t="shared" si="44"/>
        <v>35700</v>
      </c>
      <c r="Q57" s="33">
        <f t="shared" si="45"/>
        <v>35700</v>
      </c>
      <c r="R57" s="30">
        <v>2</v>
      </c>
      <c r="S57" s="31"/>
      <c r="T57" s="49">
        <v>0</v>
      </c>
      <c r="U57" s="34">
        <f t="shared" si="47"/>
        <v>36414</v>
      </c>
      <c r="V57" s="33">
        <f t="shared" si="48"/>
        <v>72828</v>
      </c>
      <c r="W57" s="30">
        <v>2</v>
      </c>
      <c r="X57" s="31"/>
      <c r="Y57" s="49">
        <v>0</v>
      </c>
      <c r="Z57" s="34">
        <f t="shared" si="50"/>
        <v>37142.28</v>
      </c>
      <c r="AA57" s="33">
        <f t="shared" si="51"/>
        <v>74284.56</v>
      </c>
      <c r="AB57" s="30">
        <v>2</v>
      </c>
      <c r="AC57" s="31"/>
      <c r="AD57" s="49">
        <v>0</v>
      </c>
      <c r="AE57" s="34">
        <f t="shared" si="53"/>
        <v>37885.125599999999</v>
      </c>
      <c r="AF57" s="33">
        <f t="shared" si="54"/>
        <v>75770.251199999999</v>
      </c>
    </row>
    <row r="58" spans="1:32">
      <c r="A58" s="35" t="s">
        <v>459</v>
      </c>
      <c r="B58" s="28" t="s">
        <v>11</v>
      </c>
      <c r="C58" s="44"/>
      <c r="D58" s="31"/>
      <c r="E58" s="31"/>
      <c r="F58" s="45"/>
      <c r="G58" s="46">
        <f t="shared" si="40"/>
        <v>0</v>
      </c>
      <c r="H58" s="30">
        <v>1</v>
      </c>
      <c r="I58" s="31"/>
      <c r="J58" s="4">
        <f t="shared" si="41"/>
        <v>0</v>
      </c>
      <c r="K58" s="32">
        <v>40000</v>
      </c>
      <c r="L58" s="33">
        <f t="shared" si="42"/>
        <v>40000</v>
      </c>
      <c r="M58" s="30">
        <v>1</v>
      </c>
      <c r="N58" s="31"/>
      <c r="O58" s="49">
        <v>0</v>
      </c>
      <c r="P58" s="34">
        <f t="shared" si="44"/>
        <v>40800</v>
      </c>
      <c r="Q58" s="33">
        <f t="shared" si="45"/>
        <v>40800</v>
      </c>
      <c r="R58" s="30">
        <v>2</v>
      </c>
      <c r="S58" s="31"/>
      <c r="T58" s="49">
        <v>0</v>
      </c>
      <c r="U58" s="34">
        <f t="shared" si="47"/>
        <v>41616</v>
      </c>
      <c r="V58" s="33">
        <f t="shared" si="48"/>
        <v>83232</v>
      </c>
      <c r="W58" s="30">
        <v>2</v>
      </c>
      <c r="X58" s="31"/>
      <c r="Y58" s="49">
        <v>0</v>
      </c>
      <c r="Z58" s="34">
        <f t="shared" si="50"/>
        <v>42448.32</v>
      </c>
      <c r="AA58" s="33">
        <f t="shared" si="51"/>
        <v>84896.639999999999</v>
      </c>
      <c r="AB58" s="30">
        <v>2</v>
      </c>
      <c r="AC58" s="31"/>
      <c r="AD58" s="49">
        <v>0</v>
      </c>
      <c r="AE58" s="34">
        <f t="shared" si="53"/>
        <v>43297.286399999997</v>
      </c>
      <c r="AF58" s="33">
        <f t="shared" si="54"/>
        <v>86594.572799999994</v>
      </c>
    </row>
    <row r="59" spans="1:32">
      <c r="A59" s="35" t="s">
        <v>460</v>
      </c>
      <c r="B59" s="28" t="s">
        <v>11</v>
      </c>
      <c r="C59" s="44"/>
      <c r="D59" s="31"/>
      <c r="E59" s="31"/>
      <c r="F59" s="45"/>
      <c r="G59" s="46">
        <f t="shared" si="40"/>
        <v>0</v>
      </c>
      <c r="H59" s="30">
        <v>1</v>
      </c>
      <c r="I59" s="31"/>
      <c r="J59" s="4">
        <f t="shared" si="41"/>
        <v>0</v>
      </c>
      <c r="K59" s="32">
        <v>35000</v>
      </c>
      <c r="L59" s="33">
        <f t="shared" si="42"/>
        <v>35000</v>
      </c>
      <c r="M59" s="30">
        <v>1</v>
      </c>
      <c r="N59" s="31"/>
      <c r="O59" s="49">
        <v>0</v>
      </c>
      <c r="P59" s="34">
        <f t="shared" si="44"/>
        <v>35700</v>
      </c>
      <c r="Q59" s="33">
        <f t="shared" si="45"/>
        <v>35700</v>
      </c>
      <c r="R59" s="30">
        <v>1</v>
      </c>
      <c r="S59" s="31"/>
      <c r="T59" s="49">
        <v>0</v>
      </c>
      <c r="U59" s="34">
        <f t="shared" si="47"/>
        <v>36414</v>
      </c>
      <c r="V59" s="33">
        <f t="shared" si="48"/>
        <v>36414</v>
      </c>
      <c r="W59" s="30">
        <v>1</v>
      </c>
      <c r="X59" s="31"/>
      <c r="Y59" s="49">
        <v>0</v>
      </c>
      <c r="Z59" s="34">
        <f t="shared" si="50"/>
        <v>37142.28</v>
      </c>
      <c r="AA59" s="33">
        <f t="shared" si="51"/>
        <v>37142.28</v>
      </c>
      <c r="AB59" s="30">
        <v>1</v>
      </c>
      <c r="AC59" s="31"/>
      <c r="AD59" s="49">
        <v>0</v>
      </c>
      <c r="AE59" s="34">
        <f t="shared" si="53"/>
        <v>37885.125599999999</v>
      </c>
      <c r="AF59" s="33">
        <f t="shared" si="54"/>
        <v>37885.125599999999</v>
      </c>
    </row>
    <row r="60" spans="1:32">
      <c r="A60" s="35" t="s">
        <v>461</v>
      </c>
      <c r="B60" s="28" t="s">
        <v>11</v>
      </c>
      <c r="C60" s="44"/>
      <c r="D60" s="31"/>
      <c r="E60" s="31"/>
      <c r="F60" s="45"/>
      <c r="G60" s="46">
        <f t="shared" si="40"/>
        <v>0</v>
      </c>
      <c r="H60" s="30">
        <v>1</v>
      </c>
      <c r="I60" s="31"/>
      <c r="J60" s="4">
        <f t="shared" si="41"/>
        <v>0</v>
      </c>
      <c r="K60" s="32">
        <v>35000</v>
      </c>
      <c r="L60" s="33">
        <f t="shared" si="42"/>
        <v>35000</v>
      </c>
      <c r="M60" s="30">
        <v>1</v>
      </c>
      <c r="N60" s="31"/>
      <c r="O60" s="49">
        <v>0</v>
      </c>
      <c r="P60" s="34">
        <f t="shared" si="44"/>
        <v>35700</v>
      </c>
      <c r="Q60" s="33">
        <f t="shared" si="45"/>
        <v>35700</v>
      </c>
      <c r="R60" s="30">
        <v>2</v>
      </c>
      <c r="S60" s="31"/>
      <c r="T60" s="49">
        <v>0</v>
      </c>
      <c r="U60" s="34">
        <f t="shared" si="47"/>
        <v>36414</v>
      </c>
      <c r="V60" s="33">
        <f t="shared" si="48"/>
        <v>72828</v>
      </c>
      <c r="W60" s="30">
        <v>2</v>
      </c>
      <c r="X60" s="31"/>
      <c r="Y60" s="49">
        <v>0</v>
      </c>
      <c r="Z60" s="34">
        <f t="shared" si="50"/>
        <v>37142.28</v>
      </c>
      <c r="AA60" s="33">
        <f t="shared" si="51"/>
        <v>74284.56</v>
      </c>
      <c r="AB60" s="30">
        <v>2</v>
      </c>
      <c r="AC60" s="31"/>
      <c r="AD60" s="49">
        <v>0</v>
      </c>
      <c r="AE60" s="34">
        <f t="shared" si="53"/>
        <v>37885.125599999999</v>
      </c>
      <c r="AF60" s="33">
        <f t="shared" si="54"/>
        <v>75770.251199999999</v>
      </c>
    </row>
    <row r="61" spans="1:32">
      <c r="A61" s="28" t="s">
        <v>50</v>
      </c>
      <c r="B61" s="28" t="s">
        <v>13</v>
      </c>
      <c r="C61" s="44"/>
      <c r="D61" s="31"/>
      <c r="E61" s="31"/>
      <c r="F61" s="45"/>
      <c r="G61" s="46">
        <f t="shared" si="40"/>
        <v>0</v>
      </c>
      <c r="H61" s="30">
        <v>1</v>
      </c>
      <c r="I61" s="31"/>
      <c r="J61" s="4">
        <f t="shared" si="41"/>
        <v>0</v>
      </c>
      <c r="K61" s="32">
        <v>20000</v>
      </c>
      <c r="L61" s="33">
        <f t="shared" si="42"/>
        <v>20000</v>
      </c>
      <c r="M61" s="30">
        <v>1</v>
      </c>
      <c r="N61" s="31"/>
      <c r="O61" s="49">
        <v>0</v>
      </c>
      <c r="P61" s="34">
        <f t="shared" si="44"/>
        <v>20400</v>
      </c>
      <c r="Q61" s="33">
        <f t="shared" si="45"/>
        <v>20400</v>
      </c>
      <c r="R61" s="30">
        <v>2</v>
      </c>
      <c r="S61" s="31"/>
      <c r="T61" s="49">
        <v>0</v>
      </c>
      <c r="U61" s="34">
        <f t="shared" si="47"/>
        <v>20808</v>
      </c>
      <c r="V61" s="33">
        <f t="shared" si="48"/>
        <v>41616</v>
      </c>
      <c r="W61" s="30">
        <v>3</v>
      </c>
      <c r="X61" s="31"/>
      <c r="Y61" s="49">
        <v>0</v>
      </c>
      <c r="Z61" s="34">
        <f t="shared" si="50"/>
        <v>21224.16</v>
      </c>
      <c r="AA61" s="33">
        <f t="shared" si="51"/>
        <v>63672.479999999996</v>
      </c>
      <c r="AB61" s="30">
        <v>3</v>
      </c>
      <c r="AC61" s="31"/>
      <c r="AD61" s="49">
        <v>0</v>
      </c>
      <c r="AE61" s="34">
        <f t="shared" si="53"/>
        <v>21648.643199999999</v>
      </c>
      <c r="AF61" s="33">
        <f t="shared" si="54"/>
        <v>64945.929599999996</v>
      </c>
    </row>
    <row r="62" spans="1:32">
      <c r="A62" s="50" t="s">
        <v>51</v>
      </c>
      <c r="B62" s="50" t="s">
        <v>13</v>
      </c>
      <c r="C62" s="51"/>
      <c r="D62" s="52"/>
      <c r="E62" s="31"/>
      <c r="F62" s="53"/>
      <c r="G62" s="46">
        <f t="shared" si="40"/>
        <v>0</v>
      </c>
      <c r="H62" s="38">
        <v>2</v>
      </c>
      <c r="I62" s="52"/>
      <c r="J62" s="4">
        <f t="shared" si="41"/>
        <v>0</v>
      </c>
      <c r="K62" s="32">
        <v>19000</v>
      </c>
      <c r="L62" s="33">
        <f t="shared" si="42"/>
        <v>38000</v>
      </c>
      <c r="M62" s="38">
        <v>5</v>
      </c>
      <c r="N62" s="52"/>
      <c r="O62" s="49">
        <v>0</v>
      </c>
      <c r="P62" s="34">
        <f t="shared" si="44"/>
        <v>19380</v>
      </c>
      <c r="Q62" s="33">
        <f t="shared" si="45"/>
        <v>96900</v>
      </c>
      <c r="R62" s="38">
        <v>5</v>
      </c>
      <c r="S62" s="52"/>
      <c r="T62" s="49">
        <v>0</v>
      </c>
      <c r="U62" s="34">
        <f t="shared" si="47"/>
        <v>19767.599999999999</v>
      </c>
      <c r="V62" s="33">
        <f t="shared" si="48"/>
        <v>98838</v>
      </c>
      <c r="W62" s="38">
        <v>5</v>
      </c>
      <c r="X62" s="52"/>
      <c r="Y62" s="49">
        <v>0</v>
      </c>
      <c r="Z62" s="34">
        <f t="shared" si="50"/>
        <v>20162.951999999997</v>
      </c>
      <c r="AA62" s="33">
        <f t="shared" si="51"/>
        <v>100814.75999999998</v>
      </c>
      <c r="AB62" s="38">
        <v>5</v>
      </c>
      <c r="AC62" s="52"/>
      <c r="AD62" s="49">
        <v>0</v>
      </c>
      <c r="AE62" s="34">
        <f t="shared" si="53"/>
        <v>20566.211039999998</v>
      </c>
      <c r="AF62" s="33">
        <f t="shared" si="54"/>
        <v>102831.05519999999</v>
      </c>
    </row>
    <row r="63" spans="1:32">
      <c r="A63" s="296" t="s">
        <v>52</v>
      </c>
      <c r="B63" s="297"/>
      <c r="C63" s="40">
        <f t="shared" ref="C63:E63" si="55">SUM(C36:C62)</f>
        <v>0</v>
      </c>
      <c r="D63" s="40">
        <f t="shared" si="55"/>
        <v>0</v>
      </c>
      <c r="E63" s="40">
        <f t="shared" si="55"/>
        <v>0</v>
      </c>
      <c r="F63" s="54"/>
      <c r="G63" s="55">
        <f t="shared" ref="G63:J63" si="56">SUM(G36:G62)</f>
        <v>0</v>
      </c>
      <c r="H63" s="40">
        <f t="shared" si="56"/>
        <v>30</v>
      </c>
      <c r="I63" s="40">
        <f>SUM(I36:I62)</f>
        <v>207</v>
      </c>
      <c r="J63" s="40">
        <f t="shared" si="56"/>
        <v>545</v>
      </c>
      <c r="K63" s="41"/>
      <c r="L63" s="42">
        <f t="shared" ref="L63:O63" si="57">SUM(L36:L62)</f>
        <v>1191000</v>
      </c>
      <c r="M63" s="40">
        <f t="shared" si="57"/>
        <v>47</v>
      </c>
      <c r="N63" s="40">
        <f t="shared" si="57"/>
        <v>219</v>
      </c>
      <c r="O63" s="40">
        <f t="shared" si="57"/>
        <v>791</v>
      </c>
      <c r="P63" s="41"/>
      <c r="Q63" s="42">
        <f t="shared" ref="Q63:T63" si="58">SUM(Q36:Q62)</f>
        <v>1881900</v>
      </c>
      <c r="R63" s="40">
        <f t="shared" si="58"/>
        <v>62</v>
      </c>
      <c r="S63" s="40">
        <f t="shared" si="58"/>
        <v>225</v>
      </c>
      <c r="T63" s="40">
        <f t="shared" si="58"/>
        <v>1015</v>
      </c>
      <c r="U63" s="41"/>
      <c r="V63" s="42">
        <f t="shared" ref="V63:Y63" si="59">SUM(V36:V62)</f>
        <v>2539616.4000000004</v>
      </c>
      <c r="W63" s="40">
        <f t="shared" si="59"/>
        <v>66</v>
      </c>
      <c r="X63" s="40">
        <f t="shared" si="59"/>
        <v>224</v>
      </c>
      <c r="Y63" s="40">
        <f t="shared" si="59"/>
        <v>1076</v>
      </c>
      <c r="Z63" s="41"/>
      <c r="AA63" s="42">
        <f t="shared" ref="AA63:AD63" si="60">SUM(AA36:AA62)</f>
        <v>2748528.7199999997</v>
      </c>
      <c r="AB63" s="40">
        <f t="shared" si="60"/>
        <v>68</v>
      </c>
      <c r="AC63" s="40">
        <f t="shared" si="60"/>
        <v>226</v>
      </c>
      <c r="AD63" s="40">
        <f t="shared" si="60"/>
        <v>1130</v>
      </c>
      <c r="AE63" s="41"/>
      <c r="AF63" s="42">
        <f>SUM(AF36:AF62)</f>
        <v>2896588.4601599989</v>
      </c>
    </row>
    <row r="64" spans="1:3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c r="A65" s="296" t="s">
        <v>53</v>
      </c>
      <c r="B65" s="297"/>
      <c r="C65" s="56">
        <f t="shared" ref="C65:E65" si="61">C63+C30</f>
        <v>0</v>
      </c>
      <c r="D65" s="56">
        <f t="shared" si="61"/>
        <v>0</v>
      </c>
      <c r="E65" s="56">
        <f t="shared" si="61"/>
        <v>0</v>
      </c>
      <c r="F65" s="57"/>
      <c r="G65" s="58">
        <f t="shared" ref="G65:J65" si="62">G63+G30</f>
        <v>0</v>
      </c>
      <c r="H65" s="56">
        <f t="shared" si="62"/>
        <v>41.4</v>
      </c>
      <c r="I65" s="56">
        <f t="shared" si="62"/>
        <v>207</v>
      </c>
      <c r="J65" s="56">
        <f t="shared" si="62"/>
        <v>545</v>
      </c>
      <c r="K65" s="57"/>
      <c r="L65" s="58">
        <f t="shared" ref="L65:O65" si="63">L63+L30</f>
        <v>1558960</v>
      </c>
      <c r="M65" s="56">
        <f t="shared" si="63"/>
        <v>65</v>
      </c>
      <c r="N65" s="56">
        <f t="shared" si="63"/>
        <v>219</v>
      </c>
      <c r="O65" s="56">
        <f t="shared" si="63"/>
        <v>791</v>
      </c>
      <c r="P65" s="57"/>
      <c r="Q65" s="58">
        <f t="shared" ref="Q65:T65" si="64">Q63+Q30</f>
        <v>2401914.4</v>
      </c>
      <c r="R65" s="56">
        <f t="shared" si="64"/>
        <v>86</v>
      </c>
      <c r="S65" s="56">
        <f t="shared" si="64"/>
        <v>225</v>
      </c>
      <c r="T65" s="56">
        <f t="shared" si="64"/>
        <v>1015</v>
      </c>
      <c r="U65" s="57"/>
      <c r="V65" s="58">
        <f t="shared" ref="V65:Y65" si="65">V63+V30</f>
        <v>3271200.7920000004</v>
      </c>
      <c r="W65" s="56">
        <f t="shared" si="65"/>
        <v>93</v>
      </c>
      <c r="X65" s="56">
        <f t="shared" si="65"/>
        <v>224</v>
      </c>
      <c r="Y65" s="56">
        <f t="shared" si="65"/>
        <v>1076</v>
      </c>
      <c r="Z65" s="57"/>
      <c r="AA65" s="58">
        <f t="shared" ref="AA65:AD65" si="66">AA63+AA30</f>
        <v>3571213.7918399996</v>
      </c>
      <c r="AB65" s="56">
        <f t="shared" si="66"/>
        <v>93</v>
      </c>
      <c r="AC65" s="56">
        <f t="shared" si="66"/>
        <v>226</v>
      </c>
      <c r="AD65" s="56">
        <f t="shared" si="66"/>
        <v>1130</v>
      </c>
      <c r="AE65" s="57"/>
      <c r="AF65" s="58">
        <f>AF63+AF30</f>
        <v>3661039.4143967987</v>
      </c>
    </row>
    <row r="66" spans="1:3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c r="A68" s="59" t="s">
        <v>54</v>
      </c>
      <c r="B68" s="23"/>
      <c r="C68" s="23"/>
      <c r="D68" s="23"/>
      <c r="E68" s="23"/>
      <c r="F68" s="23"/>
      <c r="G68" s="23"/>
      <c r="H68" s="23"/>
      <c r="I68" s="23"/>
      <c r="J68" s="23"/>
      <c r="K68" s="60"/>
      <c r="L68" s="23"/>
      <c r="M68" s="23"/>
      <c r="N68" s="23"/>
      <c r="O68" s="23"/>
      <c r="P68" s="60">
        <v>0.02</v>
      </c>
      <c r="Q68" s="23"/>
      <c r="R68" s="23"/>
      <c r="S68" s="23"/>
      <c r="T68" s="23"/>
      <c r="U68" s="60">
        <v>0.02</v>
      </c>
      <c r="V68" s="23"/>
      <c r="W68" s="23"/>
      <c r="X68" s="23"/>
      <c r="Y68" s="23"/>
      <c r="Z68" s="60">
        <v>0.02</v>
      </c>
      <c r="AA68" s="23"/>
      <c r="AB68" s="23"/>
      <c r="AC68" s="23"/>
      <c r="AD68" s="23"/>
      <c r="AE68" s="60">
        <v>0.02</v>
      </c>
      <c r="AF68" s="23"/>
    </row>
    <row r="69" spans="1:32">
      <c r="A69" s="59" t="s">
        <v>55</v>
      </c>
      <c r="B69" s="4"/>
      <c r="C69" s="4"/>
      <c r="D69" s="4"/>
      <c r="E69" s="4"/>
      <c r="F69" s="4"/>
      <c r="G69" s="4"/>
      <c r="H69" s="4"/>
      <c r="I69" s="4"/>
      <c r="J69" s="4"/>
      <c r="K69" s="61"/>
      <c r="L69" s="4"/>
      <c r="M69" s="4"/>
      <c r="N69" s="4"/>
      <c r="O69" s="4"/>
      <c r="P69" s="60">
        <v>0.02</v>
      </c>
      <c r="Q69" s="4"/>
      <c r="R69" s="4"/>
      <c r="S69" s="4"/>
      <c r="T69" s="4"/>
      <c r="U69" s="60">
        <v>0.02</v>
      </c>
      <c r="V69" s="4"/>
      <c r="W69" s="4"/>
      <c r="X69" s="4"/>
      <c r="Y69" s="4"/>
      <c r="Z69" s="60">
        <v>0.02</v>
      </c>
      <c r="AA69" s="4"/>
      <c r="AB69" s="4"/>
      <c r="AC69" s="4"/>
      <c r="AD69" s="4"/>
      <c r="AE69" s="60">
        <v>0.02</v>
      </c>
      <c r="AF69" s="4"/>
    </row>
    <row r="70" spans="1:3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row>
    <row r="196" spans="1:3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row>
    <row r="998" spans="1:3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row>
    <row r="999" spans="1:3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row>
    <row r="1000" spans="1:3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row>
    <row r="1001" spans="1:3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row>
    <row r="1002" spans="1:3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row>
    <row r="1003" spans="1:3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row>
    <row r="1004" spans="1:3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row>
  </sheetData>
  <mergeCells count="20">
    <mergeCell ref="I3:L8"/>
    <mergeCell ref="H12:L12"/>
    <mergeCell ref="M12:Q12"/>
    <mergeCell ref="R12:V12"/>
    <mergeCell ref="A1:AF1"/>
    <mergeCell ref="A2:AF2"/>
    <mergeCell ref="AB12:AF12"/>
    <mergeCell ref="W12:AA12"/>
    <mergeCell ref="N4:R4"/>
    <mergeCell ref="C12:G12"/>
    <mergeCell ref="AB34:AF34"/>
    <mergeCell ref="R34:V34"/>
    <mergeCell ref="W34:AA34"/>
    <mergeCell ref="I9:L9"/>
    <mergeCell ref="M34:Q34"/>
    <mergeCell ref="A63:B63"/>
    <mergeCell ref="A65:B65"/>
    <mergeCell ref="A30:B30"/>
    <mergeCell ref="C34:G34"/>
    <mergeCell ref="H34:L34"/>
  </mergeCells>
  <dataValidations count="1">
    <dataValidation type="list" allowBlank="1" showErrorMessage="1" sqref="B14:B29 B43:B62" xr:uid="{00000000-0002-0000-0100-000000000000}">
      <formula1>$A$4:$A$7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cols>
    <col min="1" max="1" width="55.28515625" customWidth="1"/>
    <col min="2" max="2" width="53.140625" customWidth="1"/>
    <col min="3" max="3" width="14.5703125" customWidth="1"/>
    <col min="4" max="4" width="13.28515625" customWidth="1"/>
    <col min="5" max="6" width="9.140625" customWidth="1"/>
    <col min="7" max="26" width="8.7109375" customWidth="1"/>
  </cols>
  <sheetData>
    <row r="1" spans="1:26">
      <c r="A1" s="4"/>
      <c r="B1" s="62" t="s">
        <v>56</v>
      </c>
      <c r="C1" s="4"/>
      <c r="D1" s="4"/>
      <c r="E1" s="4"/>
      <c r="F1" s="4"/>
      <c r="G1" s="4"/>
      <c r="H1" s="4"/>
      <c r="I1" s="4"/>
      <c r="J1" s="4"/>
      <c r="K1" s="4"/>
      <c r="L1" s="4"/>
      <c r="M1" s="4"/>
      <c r="N1" s="4"/>
      <c r="O1" s="4"/>
      <c r="P1" s="4"/>
      <c r="Q1" s="4"/>
      <c r="R1" s="4"/>
      <c r="S1" s="4"/>
      <c r="T1" s="4"/>
      <c r="U1" s="4"/>
      <c r="V1" s="4"/>
      <c r="W1" s="4"/>
      <c r="X1" s="4"/>
      <c r="Y1" s="4"/>
      <c r="Z1" s="4"/>
    </row>
    <row r="2" spans="1:26">
      <c r="A2" s="63" t="s">
        <v>57</v>
      </c>
      <c r="B2" s="64"/>
      <c r="C2" s="4"/>
      <c r="D2" s="4"/>
      <c r="E2" s="4"/>
      <c r="F2" s="4"/>
      <c r="G2" s="4"/>
      <c r="H2" s="4"/>
      <c r="I2" s="4"/>
      <c r="J2" s="4"/>
      <c r="K2" s="4"/>
      <c r="L2" s="4"/>
      <c r="M2" s="4"/>
      <c r="N2" s="4"/>
      <c r="O2" s="4"/>
      <c r="P2" s="4"/>
      <c r="Q2" s="4"/>
      <c r="R2" s="4"/>
      <c r="S2" s="4"/>
      <c r="T2" s="4"/>
      <c r="U2" s="4"/>
      <c r="V2" s="4"/>
      <c r="W2" s="4"/>
      <c r="X2" s="4"/>
      <c r="Y2" s="4"/>
      <c r="Z2" s="4"/>
    </row>
    <row r="3" spans="1:26">
      <c r="A3" s="65" t="s">
        <v>58</v>
      </c>
      <c r="B3" s="64">
        <v>43.24</v>
      </c>
      <c r="C3" s="4"/>
      <c r="D3" s="4"/>
      <c r="E3" s="4"/>
      <c r="F3" s="4"/>
      <c r="G3" s="4"/>
      <c r="H3" s="4"/>
      <c r="I3" s="4"/>
      <c r="J3" s="4"/>
      <c r="K3" s="4"/>
      <c r="L3" s="4"/>
      <c r="M3" s="4"/>
      <c r="N3" s="4"/>
      <c r="O3" s="4"/>
      <c r="P3" s="4"/>
      <c r="Q3" s="4"/>
      <c r="R3" s="4"/>
      <c r="S3" s="4"/>
      <c r="T3" s="4"/>
      <c r="U3" s="4"/>
      <c r="V3" s="4"/>
      <c r="W3" s="4"/>
      <c r="X3" s="4"/>
      <c r="Y3" s="4"/>
      <c r="Z3" s="4"/>
    </row>
    <row r="4" spans="1:26">
      <c r="A4" s="65" t="s">
        <v>59</v>
      </c>
      <c r="B4" s="64">
        <v>3.7</v>
      </c>
      <c r="C4" s="4"/>
      <c r="D4" s="4"/>
      <c r="E4" s="4"/>
      <c r="F4" s="4"/>
      <c r="G4" s="4"/>
      <c r="H4" s="4"/>
      <c r="I4" s="4"/>
      <c r="J4" s="4"/>
      <c r="K4" s="4"/>
      <c r="L4" s="4"/>
      <c r="M4" s="4"/>
      <c r="N4" s="4"/>
      <c r="O4" s="4"/>
      <c r="P4" s="4"/>
      <c r="Q4" s="4"/>
      <c r="R4" s="4"/>
      <c r="S4" s="4"/>
      <c r="T4" s="4"/>
      <c r="U4" s="4"/>
      <c r="V4" s="4"/>
      <c r="W4" s="4"/>
      <c r="X4" s="4"/>
      <c r="Y4" s="4"/>
      <c r="Z4" s="4"/>
    </row>
    <row r="5" spans="1:26">
      <c r="A5" s="65" t="s">
        <v>60</v>
      </c>
      <c r="B5" s="64">
        <v>8.94</v>
      </c>
      <c r="C5" s="4"/>
      <c r="D5" s="4"/>
      <c r="E5" s="4"/>
      <c r="F5" s="4"/>
      <c r="G5" s="4"/>
      <c r="H5" s="4"/>
      <c r="I5" s="4"/>
      <c r="J5" s="4"/>
      <c r="K5" s="4"/>
      <c r="L5" s="4"/>
      <c r="M5" s="4"/>
      <c r="N5" s="4"/>
      <c r="O5" s="4"/>
      <c r="P5" s="4"/>
      <c r="Q5" s="4"/>
      <c r="R5" s="4"/>
      <c r="S5" s="4"/>
      <c r="T5" s="4"/>
      <c r="U5" s="4"/>
      <c r="V5" s="4"/>
      <c r="W5" s="4"/>
      <c r="X5" s="4"/>
      <c r="Y5" s="4"/>
      <c r="Z5" s="4"/>
    </row>
    <row r="6" spans="1:26">
      <c r="A6" s="65" t="s">
        <v>61</v>
      </c>
      <c r="B6" s="64">
        <v>14.5</v>
      </c>
      <c r="C6" s="4"/>
      <c r="D6" s="4"/>
      <c r="E6" s="4"/>
      <c r="F6" s="4"/>
      <c r="G6" s="4"/>
      <c r="H6" s="4"/>
      <c r="I6" s="4"/>
      <c r="J6" s="4"/>
      <c r="K6" s="4"/>
      <c r="L6" s="4"/>
      <c r="M6" s="4"/>
      <c r="N6" s="4"/>
      <c r="O6" s="4"/>
      <c r="P6" s="4"/>
      <c r="Q6" s="4"/>
      <c r="R6" s="4"/>
      <c r="S6" s="4"/>
      <c r="T6" s="4"/>
      <c r="U6" s="4"/>
      <c r="V6" s="4"/>
      <c r="W6" s="4"/>
      <c r="X6" s="4"/>
      <c r="Y6" s="4"/>
      <c r="Z6" s="4"/>
    </row>
    <row r="7" spans="1:26">
      <c r="A7" s="65" t="s">
        <v>62</v>
      </c>
      <c r="B7" s="64">
        <v>7.74</v>
      </c>
      <c r="C7" s="4"/>
      <c r="D7" s="4"/>
      <c r="E7" s="4"/>
      <c r="F7" s="4"/>
      <c r="G7" s="4"/>
      <c r="H7" s="4"/>
      <c r="I7" s="4"/>
      <c r="J7" s="4"/>
      <c r="K7" s="4"/>
      <c r="L7" s="4"/>
      <c r="M7" s="4"/>
      <c r="N7" s="4"/>
      <c r="O7" s="4"/>
      <c r="P7" s="4"/>
      <c r="Q7" s="4"/>
      <c r="R7" s="4"/>
      <c r="S7" s="4"/>
      <c r="T7" s="4"/>
      <c r="U7" s="4"/>
      <c r="V7" s="4"/>
      <c r="W7" s="4"/>
      <c r="X7" s="4"/>
      <c r="Y7" s="4"/>
      <c r="Z7" s="4"/>
    </row>
    <row r="8" spans="1:26">
      <c r="A8" s="65" t="s">
        <v>63</v>
      </c>
      <c r="B8" s="64" t="s">
        <v>64</v>
      </c>
      <c r="C8" s="4">
        <v>0.125</v>
      </c>
      <c r="D8" s="4">
        <v>48.17</v>
      </c>
      <c r="E8" s="4"/>
      <c r="F8" s="4"/>
      <c r="G8" s="4"/>
      <c r="H8" s="4"/>
      <c r="I8" s="4"/>
      <c r="J8" s="4"/>
      <c r="K8" s="4"/>
      <c r="L8" s="4"/>
      <c r="M8" s="4"/>
      <c r="N8" s="4"/>
      <c r="O8" s="4"/>
      <c r="P8" s="4"/>
      <c r="Q8" s="4"/>
      <c r="R8" s="4"/>
      <c r="S8" s="4"/>
      <c r="T8" s="4"/>
      <c r="U8" s="4"/>
      <c r="V8" s="4"/>
      <c r="W8" s="4"/>
      <c r="X8" s="4"/>
      <c r="Y8" s="4"/>
      <c r="Z8" s="4"/>
    </row>
    <row r="9" spans="1:26">
      <c r="A9" s="65" t="s">
        <v>65</v>
      </c>
      <c r="B9" s="64">
        <v>0</v>
      </c>
      <c r="C9" s="4"/>
      <c r="D9" s="4"/>
      <c r="E9" s="4"/>
      <c r="F9" s="4"/>
      <c r="G9" s="4"/>
      <c r="H9" s="4"/>
      <c r="I9" s="4"/>
      <c r="J9" s="4"/>
      <c r="K9" s="4"/>
      <c r="L9" s="4"/>
      <c r="M9" s="4"/>
      <c r="N9" s="4"/>
      <c r="O9" s="4"/>
      <c r="P9" s="4"/>
      <c r="Q9" s="4"/>
      <c r="R9" s="4"/>
      <c r="S9" s="4"/>
      <c r="T9" s="4"/>
      <c r="U9" s="4"/>
      <c r="V9" s="4"/>
      <c r="W9" s="4"/>
      <c r="X9" s="4"/>
      <c r="Y9" s="4"/>
      <c r="Z9" s="4"/>
    </row>
    <row r="10" spans="1:26">
      <c r="A10" s="65" t="s">
        <v>66</v>
      </c>
      <c r="B10" s="64">
        <v>300</v>
      </c>
      <c r="C10" s="4"/>
      <c r="D10" s="4"/>
      <c r="E10" s="4"/>
      <c r="F10" s="4"/>
      <c r="G10" s="4"/>
      <c r="H10" s="4"/>
      <c r="I10" s="4"/>
      <c r="J10" s="4"/>
      <c r="K10" s="4"/>
      <c r="L10" s="4"/>
      <c r="M10" s="4"/>
      <c r="N10" s="4"/>
      <c r="O10" s="4"/>
      <c r="P10" s="4"/>
      <c r="Q10" s="4"/>
      <c r="R10" s="4"/>
      <c r="S10" s="4"/>
      <c r="T10" s="4"/>
      <c r="U10" s="4"/>
      <c r="V10" s="4"/>
      <c r="W10" s="4"/>
      <c r="X10" s="4"/>
      <c r="Y10" s="4"/>
      <c r="Z10" s="4"/>
    </row>
    <row r="11" spans="1:26">
      <c r="A11" s="65" t="s">
        <v>67</v>
      </c>
      <c r="B11" s="64" t="s">
        <v>68</v>
      </c>
      <c r="C11" s="4">
        <v>0.03</v>
      </c>
      <c r="D11" s="4"/>
      <c r="E11" s="4"/>
      <c r="F11" s="4"/>
      <c r="G11" s="4"/>
      <c r="H11" s="4"/>
      <c r="I11" s="4"/>
      <c r="J11" s="4"/>
      <c r="K11" s="4"/>
      <c r="L11" s="4"/>
      <c r="M11" s="4"/>
      <c r="N11" s="4"/>
      <c r="O11" s="4"/>
      <c r="P11" s="4"/>
      <c r="Q11" s="4"/>
      <c r="R11" s="4"/>
      <c r="S11" s="4"/>
      <c r="T11" s="4"/>
      <c r="U11" s="4"/>
      <c r="V11" s="4"/>
      <c r="W11" s="4"/>
      <c r="X11" s="4"/>
      <c r="Y11" s="4"/>
      <c r="Z11" s="4"/>
    </row>
    <row r="12" spans="1:26">
      <c r="A12" s="4"/>
      <c r="B12" s="64"/>
      <c r="C12" s="4"/>
      <c r="D12" s="4"/>
      <c r="E12" s="4"/>
      <c r="F12" s="4"/>
      <c r="G12" s="4"/>
      <c r="H12" s="4"/>
      <c r="I12" s="4"/>
      <c r="J12" s="4"/>
      <c r="K12" s="4"/>
      <c r="L12" s="4"/>
      <c r="M12" s="4"/>
      <c r="N12" s="4"/>
      <c r="O12" s="4"/>
      <c r="P12" s="4"/>
      <c r="Q12" s="4"/>
      <c r="R12" s="4"/>
      <c r="S12" s="4"/>
      <c r="T12" s="4"/>
      <c r="U12" s="4"/>
      <c r="V12" s="4"/>
      <c r="W12" s="4"/>
      <c r="X12" s="4"/>
      <c r="Y12" s="4"/>
      <c r="Z12" s="4"/>
    </row>
    <row r="13" spans="1:26">
      <c r="A13" s="63" t="s">
        <v>69</v>
      </c>
      <c r="B13" s="64"/>
      <c r="C13" s="4"/>
      <c r="D13" s="4"/>
      <c r="E13" s="4"/>
      <c r="F13" s="4"/>
      <c r="G13" s="4"/>
      <c r="H13" s="4"/>
      <c r="I13" s="4"/>
      <c r="J13" s="4"/>
      <c r="K13" s="4"/>
      <c r="L13" s="4"/>
      <c r="M13" s="4"/>
      <c r="N13" s="4"/>
      <c r="O13" s="4"/>
      <c r="P13" s="4"/>
      <c r="Q13" s="4"/>
      <c r="R13" s="4"/>
      <c r="S13" s="4"/>
      <c r="T13" s="4"/>
      <c r="U13" s="4"/>
      <c r="V13" s="4"/>
      <c r="W13" s="4"/>
      <c r="X13" s="4"/>
      <c r="Y13" s="4"/>
      <c r="Z13" s="4"/>
    </row>
    <row r="14" spans="1:26">
      <c r="A14" s="66" t="s">
        <v>61</v>
      </c>
      <c r="B14" s="64"/>
      <c r="C14" s="4"/>
      <c r="D14" s="4"/>
      <c r="E14" s="4"/>
      <c r="F14" s="4"/>
      <c r="G14" s="4"/>
      <c r="H14" s="4"/>
      <c r="I14" s="4"/>
      <c r="J14" s="4"/>
      <c r="K14" s="4"/>
      <c r="L14" s="4"/>
      <c r="M14" s="4"/>
      <c r="N14" s="4"/>
      <c r="O14" s="4"/>
      <c r="P14" s="4"/>
      <c r="Q14" s="4"/>
      <c r="R14" s="4"/>
      <c r="S14" s="4"/>
      <c r="T14" s="4"/>
      <c r="U14" s="4"/>
      <c r="V14" s="4"/>
      <c r="W14" s="4"/>
      <c r="X14" s="4"/>
      <c r="Y14" s="4"/>
      <c r="Z14" s="4"/>
    </row>
    <row r="15" spans="1:26">
      <c r="A15" s="65" t="s">
        <v>70</v>
      </c>
      <c r="B15" s="64" t="s">
        <v>71</v>
      </c>
      <c r="C15" s="4"/>
      <c r="D15" s="4"/>
      <c r="E15" s="4"/>
      <c r="F15" s="4"/>
      <c r="G15" s="4"/>
      <c r="H15" s="4"/>
      <c r="I15" s="4"/>
      <c r="J15" s="4"/>
      <c r="K15" s="4"/>
      <c r="L15" s="4"/>
      <c r="M15" s="4"/>
      <c r="N15" s="4"/>
      <c r="O15" s="4"/>
      <c r="P15" s="4"/>
      <c r="Q15" s="4"/>
      <c r="R15" s="4"/>
      <c r="S15" s="4"/>
      <c r="T15" s="4"/>
      <c r="U15" s="4"/>
      <c r="V15" s="4"/>
      <c r="W15" s="4"/>
      <c r="X15" s="4"/>
      <c r="Y15" s="4"/>
      <c r="Z15" s="4"/>
    </row>
    <row r="16" spans="1:26">
      <c r="A16" s="65" t="s">
        <v>72</v>
      </c>
      <c r="B16" s="64" t="s">
        <v>71</v>
      </c>
      <c r="C16" s="4"/>
      <c r="D16" s="4"/>
      <c r="E16" s="4"/>
      <c r="F16" s="4"/>
      <c r="G16" s="4"/>
      <c r="H16" s="4"/>
      <c r="I16" s="4"/>
      <c r="J16" s="4"/>
      <c r="K16" s="4"/>
      <c r="L16" s="4"/>
      <c r="M16" s="4"/>
      <c r="N16" s="4"/>
      <c r="O16" s="4"/>
      <c r="P16" s="4"/>
      <c r="Q16" s="4"/>
      <c r="R16" s="4"/>
      <c r="S16" s="4"/>
      <c r="T16" s="4"/>
      <c r="U16" s="4"/>
      <c r="V16" s="4"/>
      <c r="W16" s="4"/>
      <c r="X16" s="4"/>
      <c r="Y16" s="4"/>
      <c r="Z16" s="4"/>
    </row>
    <row r="17" spans="1:26">
      <c r="A17" s="65" t="s">
        <v>73</v>
      </c>
      <c r="B17" s="64" t="s">
        <v>74</v>
      </c>
      <c r="C17" s="4"/>
      <c r="D17" s="4"/>
      <c r="E17" s="4"/>
      <c r="F17" s="4"/>
      <c r="G17" s="4"/>
      <c r="H17" s="4"/>
      <c r="I17" s="4"/>
      <c r="J17" s="4"/>
      <c r="K17" s="4"/>
      <c r="L17" s="4"/>
      <c r="M17" s="4"/>
      <c r="N17" s="4"/>
      <c r="O17" s="4"/>
      <c r="P17" s="4"/>
      <c r="Q17" s="4"/>
      <c r="R17" s="4"/>
      <c r="S17" s="4"/>
      <c r="T17" s="4"/>
      <c r="U17" s="4"/>
      <c r="V17" s="4"/>
      <c r="W17" s="4"/>
      <c r="X17" s="4"/>
      <c r="Y17" s="4"/>
      <c r="Z17" s="4"/>
    </row>
    <row r="18" spans="1:26">
      <c r="A18" s="65" t="s">
        <v>75</v>
      </c>
      <c r="B18" s="64" t="s">
        <v>71</v>
      </c>
      <c r="C18" s="4"/>
      <c r="D18" s="4"/>
      <c r="E18" s="4"/>
      <c r="F18" s="4"/>
      <c r="G18" s="4"/>
      <c r="H18" s="4"/>
      <c r="I18" s="4"/>
      <c r="J18" s="4"/>
      <c r="K18" s="4"/>
      <c r="L18" s="4"/>
      <c r="M18" s="4"/>
      <c r="N18" s="4"/>
      <c r="O18" s="4"/>
      <c r="P18" s="4"/>
      <c r="Q18" s="4"/>
      <c r="R18" s="4"/>
      <c r="S18" s="4"/>
      <c r="T18" s="4"/>
      <c r="U18" s="4"/>
      <c r="V18" s="4"/>
      <c r="W18" s="4"/>
      <c r="X18" s="4"/>
      <c r="Y18" s="4"/>
      <c r="Z18" s="4"/>
    </row>
    <row r="19" spans="1:26">
      <c r="A19" s="65" t="s">
        <v>76</v>
      </c>
      <c r="B19" s="64" t="s">
        <v>77</v>
      </c>
      <c r="C19" s="4">
        <v>75</v>
      </c>
      <c r="D19" s="4"/>
      <c r="E19" s="4"/>
      <c r="F19" s="4"/>
      <c r="G19" s="4"/>
      <c r="H19" s="4"/>
      <c r="I19" s="4"/>
      <c r="J19" s="4"/>
      <c r="K19" s="4"/>
      <c r="L19" s="4"/>
      <c r="M19" s="4"/>
      <c r="N19" s="4"/>
      <c r="O19" s="4"/>
      <c r="P19" s="4"/>
      <c r="Q19" s="4"/>
      <c r="R19" s="4"/>
      <c r="S19" s="4"/>
      <c r="T19" s="4"/>
      <c r="U19" s="4"/>
      <c r="V19" s="4"/>
      <c r="W19" s="4"/>
      <c r="X19" s="4"/>
      <c r="Y19" s="4"/>
      <c r="Z19" s="4"/>
    </row>
    <row r="20" spans="1:26">
      <c r="A20" s="66" t="s">
        <v>78</v>
      </c>
      <c r="B20" s="64"/>
      <c r="C20" s="4"/>
      <c r="D20" s="4"/>
      <c r="E20" s="4"/>
      <c r="F20" s="4"/>
      <c r="G20" s="4"/>
      <c r="H20" s="4"/>
      <c r="I20" s="4"/>
      <c r="J20" s="4"/>
      <c r="K20" s="4"/>
      <c r="L20" s="4"/>
      <c r="M20" s="4"/>
      <c r="N20" s="4"/>
      <c r="O20" s="4"/>
      <c r="P20" s="4"/>
      <c r="Q20" s="4"/>
      <c r="R20" s="4"/>
      <c r="S20" s="4"/>
      <c r="T20" s="4"/>
      <c r="U20" s="4"/>
      <c r="V20" s="4"/>
      <c r="W20" s="4"/>
      <c r="X20" s="4"/>
      <c r="Y20" s="4"/>
      <c r="Z20" s="4"/>
    </row>
    <row r="21" spans="1:26">
      <c r="A21" s="65" t="s">
        <v>79</v>
      </c>
      <c r="B21" s="64" t="s">
        <v>80</v>
      </c>
      <c r="C21" s="4"/>
      <c r="D21" s="4"/>
      <c r="E21" s="4"/>
      <c r="F21" s="4"/>
      <c r="G21" s="4"/>
      <c r="H21" s="4"/>
      <c r="I21" s="4"/>
      <c r="J21" s="4"/>
      <c r="K21" s="4"/>
      <c r="L21" s="4"/>
      <c r="M21" s="4"/>
      <c r="N21" s="4"/>
      <c r="O21" s="4"/>
      <c r="P21" s="4"/>
      <c r="Q21" s="4"/>
      <c r="R21" s="4"/>
      <c r="S21" s="4"/>
      <c r="T21" s="4"/>
      <c r="U21" s="4"/>
      <c r="V21" s="4"/>
      <c r="W21" s="4"/>
      <c r="X21" s="4"/>
      <c r="Y21" s="4"/>
      <c r="Z21" s="4"/>
    </row>
    <row r="22" spans="1:26">
      <c r="A22" s="66" t="s">
        <v>81</v>
      </c>
      <c r="B22" s="64"/>
      <c r="C22" s="4"/>
      <c r="D22" s="4"/>
      <c r="E22" s="4"/>
      <c r="F22" s="4"/>
      <c r="G22" s="4"/>
      <c r="H22" s="4"/>
      <c r="I22" s="4"/>
      <c r="J22" s="4"/>
      <c r="K22" s="4"/>
      <c r="L22" s="4"/>
      <c r="M22" s="4"/>
      <c r="N22" s="4"/>
      <c r="O22" s="4"/>
      <c r="P22" s="4"/>
      <c r="Q22" s="4"/>
      <c r="R22" s="4"/>
      <c r="S22" s="4"/>
      <c r="T22" s="4"/>
      <c r="U22" s="4"/>
      <c r="V22" s="4"/>
      <c r="W22" s="4"/>
      <c r="X22" s="4"/>
      <c r="Y22" s="4"/>
      <c r="Z22" s="4"/>
    </row>
    <row r="23" spans="1:26">
      <c r="A23" s="65" t="s">
        <v>82</v>
      </c>
      <c r="B23" s="64">
        <v>2</v>
      </c>
      <c r="C23" s="4"/>
      <c r="D23" s="4"/>
      <c r="E23" s="4"/>
      <c r="F23" s="4"/>
      <c r="G23" s="4"/>
      <c r="H23" s="4"/>
      <c r="I23" s="4"/>
      <c r="J23" s="4"/>
      <c r="K23" s="4"/>
      <c r="L23" s="4"/>
      <c r="M23" s="4"/>
      <c r="N23" s="4"/>
      <c r="O23" s="4"/>
      <c r="P23" s="4"/>
      <c r="Q23" s="4"/>
      <c r="R23" s="4"/>
      <c r="S23" s="4"/>
      <c r="T23" s="4"/>
      <c r="U23" s="4"/>
      <c r="V23" s="4"/>
      <c r="W23" s="4"/>
      <c r="X23" s="4"/>
      <c r="Y23" s="4"/>
      <c r="Z23" s="4"/>
    </row>
    <row r="24" spans="1:26">
      <c r="A24" s="66" t="s">
        <v>83</v>
      </c>
      <c r="B24" s="64"/>
      <c r="C24" s="4"/>
      <c r="D24" s="4"/>
      <c r="E24" s="4"/>
      <c r="F24" s="4"/>
      <c r="G24" s="4"/>
      <c r="H24" s="4"/>
      <c r="I24" s="4"/>
      <c r="J24" s="4"/>
      <c r="K24" s="4"/>
      <c r="L24" s="4"/>
      <c r="M24" s="4"/>
      <c r="N24" s="4"/>
      <c r="O24" s="4"/>
      <c r="P24" s="4"/>
      <c r="Q24" s="4"/>
      <c r="R24" s="4"/>
      <c r="S24" s="4"/>
      <c r="T24" s="4"/>
      <c r="U24" s="4"/>
      <c r="V24" s="4"/>
      <c r="W24" s="4"/>
      <c r="X24" s="4"/>
      <c r="Y24" s="4"/>
      <c r="Z24" s="4"/>
    </row>
    <row r="25" spans="1:26" ht="60">
      <c r="A25" s="65" t="s">
        <v>84</v>
      </c>
      <c r="B25" s="64" t="s">
        <v>71</v>
      </c>
      <c r="C25" s="67" t="s">
        <v>85</v>
      </c>
      <c r="D25" s="4"/>
      <c r="E25" s="4"/>
      <c r="F25" s="4"/>
      <c r="G25" s="4"/>
      <c r="H25" s="4"/>
      <c r="I25" s="4"/>
      <c r="J25" s="4"/>
      <c r="K25" s="4"/>
      <c r="L25" s="4"/>
      <c r="M25" s="4"/>
      <c r="N25" s="4"/>
      <c r="O25" s="4"/>
      <c r="P25" s="4"/>
      <c r="Q25" s="4"/>
      <c r="R25" s="4"/>
      <c r="S25" s="4"/>
      <c r="T25" s="4"/>
      <c r="U25" s="4"/>
      <c r="V25" s="4"/>
      <c r="W25" s="4"/>
      <c r="X25" s="4"/>
      <c r="Y25" s="4"/>
      <c r="Z25" s="4"/>
    </row>
    <row r="26" spans="1:26">
      <c r="A26" s="65" t="s">
        <v>86</v>
      </c>
      <c r="B26" s="64" t="s">
        <v>87</v>
      </c>
      <c r="C26" s="4" t="s">
        <v>88</v>
      </c>
      <c r="D26" s="4"/>
      <c r="E26" s="4"/>
      <c r="F26" s="4"/>
      <c r="G26" s="4"/>
      <c r="H26" s="4"/>
      <c r="I26" s="4"/>
      <c r="J26" s="4"/>
      <c r="K26" s="4"/>
      <c r="L26" s="4"/>
      <c r="M26" s="4"/>
      <c r="N26" s="4"/>
      <c r="O26" s="4"/>
      <c r="P26" s="4"/>
      <c r="Q26" s="4"/>
      <c r="R26" s="4"/>
      <c r="S26" s="4"/>
      <c r="T26" s="4"/>
      <c r="U26" s="4"/>
      <c r="V26" s="4"/>
      <c r="W26" s="4"/>
      <c r="X26" s="4"/>
      <c r="Y26" s="4"/>
      <c r="Z26" s="4"/>
    </row>
    <row r="27" spans="1:26">
      <c r="A27" s="66" t="s">
        <v>89</v>
      </c>
      <c r="B27" s="64"/>
      <c r="C27" s="4"/>
      <c r="D27" s="4"/>
      <c r="E27" s="4"/>
      <c r="F27" s="4"/>
      <c r="G27" s="4"/>
      <c r="H27" s="4"/>
      <c r="I27" s="4"/>
      <c r="J27" s="4"/>
      <c r="K27" s="4"/>
      <c r="L27" s="4"/>
      <c r="M27" s="4"/>
      <c r="N27" s="4"/>
      <c r="O27" s="4"/>
      <c r="P27" s="4"/>
      <c r="Q27" s="4"/>
      <c r="R27" s="4"/>
      <c r="S27" s="4"/>
      <c r="T27" s="4"/>
      <c r="U27" s="4"/>
      <c r="V27" s="4"/>
      <c r="W27" s="4"/>
      <c r="X27" s="4"/>
      <c r="Y27" s="4"/>
      <c r="Z27" s="4"/>
    </row>
    <row r="28" spans="1:26">
      <c r="A28" s="65" t="s">
        <v>90</v>
      </c>
      <c r="B28" s="64" t="s">
        <v>91</v>
      </c>
      <c r="C28" s="4"/>
      <c r="D28" s="4"/>
      <c r="E28" s="4"/>
      <c r="F28" s="4"/>
      <c r="G28" s="4"/>
      <c r="H28" s="4"/>
      <c r="I28" s="4"/>
      <c r="J28" s="4"/>
      <c r="K28" s="4"/>
      <c r="L28" s="4"/>
      <c r="M28" s="4"/>
      <c r="N28" s="4"/>
      <c r="O28" s="4"/>
      <c r="P28" s="4"/>
      <c r="Q28" s="4"/>
      <c r="R28" s="4"/>
      <c r="S28" s="4"/>
      <c r="T28" s="4"/>
      <c r="U28" s="4"/>
      <c r="V28" s="4"/>
      <c r="W28" s="4"/>
      <c r="X28" s="4"/>
      <c r="Y28" s="4"/>
      <c r="Z28" s="4"/>
    </row>
    <row r="29" spans="1:26">
      <c r="A29" s="66" t="s">
        <v>92</v>
      </c>
      <c r="B29" s="64"/>
      <c r="C29" s="4"/>
      <c r="D29" s="4"/>
      <c r="E29" s="4"/>
      <c r="F29" s="4"/>
      <c r="G29" s="4"/>
      <c r="H29" s="4"/>
      <c r="I29" s="4"/>
      <c r="J29" s="4"/>
      <c r="K29" s="4"/>
      <c r="L29" s="4"/>
      <c r="M29" s="4"/>
      <c r="N29" s="4"/>
      <c r="O29" s="4"/>
      <c r="P29" s="4"/>
      <c r="Q29" s="4"/>
      <c r="R29" s="4"/>
      <c r="S29" s="4"/>
      <c r="T29" s="4"/>
      <c r="U29" s="4"/>
      <c r="V29" s="4"/>
      <c r="W29" s="4"/>
      <c r="X29" s="4"/>
      <c r="Y29" s="4"/>
      <c r="Z29" s="4"/>
    </row>
    <row r="30" spans="1:26">
      <c r="A30" s="68" t="s">
        <v>93</v>
      </c>
      <c r="B30" s="69" t="s">
        <v>94</v>
      </c>
      <c r="C30" s="4"/>
      <c r="D30" s="4"/>
      <c r="E30" s="4"/>
      <c r="F30" s="4"/>
      <c r="G30" s="4"/>
      <c r="H30" s="4"/>
      <c r="I30" s="4"/>
      <c r="J30" s="4"/>
      <c r="K30" s="4"/>
      <c r="L30" s="4"/>
      <c r="M30" s="4"/>
      <c r="N30" s="4"/>
      <c r="O30" s="4"/>
      <c r="P30" s="4"/>
      <c r="Q30" s="4"/>
      <c r="R30" s="4"/>
      <c r="S30" s="4"/>
      <c r="T30" s="4"/>
      <c r="U30" s="4"/>
      <c r="V30" s="4"/>
      <c r="W30" s="4"/>
      <c r="X30" s="4"/>
      <c r="Y30" s="4"/>
      <c r="Z30" s="4"/>
    </row>
    <row r="31" spans="1:26">
      <c r="A31" s="65" t="s">
        <v>95</v>
      </c>
      <c r="B31" s="64" t="s">
        <v>71</v>
      </c>
      <c r="C31" s="4"/>
      <c r="D31" s="4"/>
      <c r="E31" s="4"/>
      <c r="F31" s="4"/>
      <c r="G31" s="4"/>
      <c r="H31" s="4"/>
      <c r="I31" s="4"/>
      <c r="J31" s="4"/>
      <c r="K31" s="4"/>
      <c r="L31" s="4"/>
      <c r="M31" s="4"/>
      <c r="N31" s="4"/>
      <c r="O31" s="4"/>
      <c r="P31" s="4"/>
      <c r="Q31" s="4"/>
      <c r="R31" s="4"/>
      <c r="S31" s="4"/>
      <c r="T31" s="4"/>
      <c r="U31" s="4"/>
      <c r="V31" s="4"/>
      <c r="W31" s="4"/>
      <c r="X31" s="4"/>
      <c r="Y31" s="4"/>
      <c r="Z31" s="4"/>
    </row>
    <row r="32" spans="1:26">
      <c r="A32" s="65" t="s">
        <v>96</v>
      </c>
      <c r="B32" s="64" t="s">
        <v>71</v>
      </c>
      <c r="C32" s="4"/>
      <c r="D32" s="4"/>
      <c r="E32" s="4"/>
      <c r="F32" s="4"/>
      <c r="G32" s="4"/>
      <c r="H32" s="4"/>
      <c r="I32" s="4"/>
      <c r="J32" s="4"/>
      <c r="K32" s="4"/>
      <c r="L32" s="4"/>
      <c r="M32" s="4"/>
      <c r="N32" s="4"/>
      <c r="O32" s="4"/>
      <c r="P32" s="4"/>
      <c r="Q32" s="4"/>
      <c r="R32" s="4"/>
      <c r="S32" s="4"/>
      <c r="T32" s="4"/>
      <c r="U32" s="4"/>
      <c r="V32" s="4"/>
      <c r="W32" s="4"/>
      <c r="X32" s="4"/>
      <c r="Y32" s="4"/>
      <c r="Z32" s="4"/>
    </row>
    <row r="33" spans="1:26">
      <c r="A33" s="66" t="s">
        <v>97</v>
      </c>
      <c r="B33" s="64"/>
      <c r="C33" s="4"/>
      <c r="D33" s="4"/>
      <c r="E33" s="4"/>
      <c r="F33" s="4"/>
      <c r="G33" s="4"/>
      <c r="H33" s="4"/>
      <c r="I33" s="4"/>
      <c r="J33" s="4"/>
      <c r="K33" s="4"/>
      <c r="L33" s="4"/>
      <c r="M33" s="4"/>
      <c r="N33" s="4"/>
      <c r="O33" s="4"/>
      <c r="P33" s="4"/>
      <c r="Q33" s="4"/>
      <c r="R33" s="4"/>
      <c r="S33" s="4"/>
      <c r="T33" s="4"/>
      <c r="U33" s="4"/>
      <c r="V33" s="4"/>
      <c r="W33" s="4"/>
      <c r="X33" s="4"/>
      <c r="Y33" s="4"/>
      <c r="Z33" s="4"/>
    </row>
    <row r="34" spans="1:26">
      <c r="A34" s="65" t="s">
        <v>98</v>
      </c>
      <c r="B34" s="70">
        <v>99286.93</v>
      </c>
      <c r="C34" s="4"/>
      <c r="D34" s="4"/>
      <c r="E34" s="4"/>
      <c r="F34" s="4"/>
      <c r="G34" s="4"/>
      <c r="H34" s="4"/>
      <c r="I34" s="4"/>
      <c r="J34" s="4"/>
      <c r="K34" s="4"/>
      <c r="L34" s="4"/>
      <c r="M34" s="4"/>
      <c r="N34" s="4"/>
      <c r="O34" s="4"/>
      <c r="P34" s="4"/>
      <c r="Q34" s="4"/>
      <c r="R34" s="4"/>
      <c r="S34" s="4"/>
      <c r="T34" s="4"/>
      <c r="U34" s="4"/>
      <c r="V34" s="4"/>
      <c r="W34" s="4"/>
      <c r="X34" s="4"/>
      <c r="Y34" s="4"/>
      <c r="Z34" s="4"/>
    </row>
    <row r="35" spans="1:26">
      <c r="A35" s="65" t="s">
        <v>99</v>
      </c>
      <c r="B35" s="64">
        <v>3.18</v>
      </c>
      <c r="C35" s="4"/>
      <c r="D35" s="4"/>
      <c r="E35" s="4"/>
      <c r="F35" s="4"/>
      <c r="G35" s="4"/>
      <c r="H35" s="4"/>
      <c r="I35" s="4"/>
      <c r="J35" s="4"/>
      <c r="K35" s="4"/>
      <c r="L35" s="4"/>
      <c r="M35" s="4"/>
      <c r="N35" s="4"/>
      <c r="O35" s="4"/>
      <c r="P35" s="4"/>
      <c r="Q35" s="4"/>
      <c r="R35" s="4"/>
      <c r="S35" s="4"/>
      <c r="T35" s="4"/>
      <c r="U35" s="4"/>
      <c r="V35" s="4"/>
      <c r="W35" s="4"/>
      <c r="X35" s="4"/>
      <c r="Y35" s="4"/>
      <c r="Z35" s="4"/>
    </row>
    <row r="36" spans="1:26">
      <c r="A36" s="65" t="s">
        <v>100</v>
      </c>
      <c r="B36" s="64" t="s">
        <v>101</v>
      </c>
      <c r="C36" s="4"/>
      <c r="D36" s="4"/>
      <c r="E36" s="4"/>
      <c r="F36" s="4"/>
      <c r="G36" s="4"/>
      <c r="H36" s="4"/>
      <c r="I36" s="4"/>
      <c r="J36" s="4"/>
      <c r="K36" s="4"/>
      <c r="L36" s="4"/>
      <c r="M36" s="4"/>
      <c r="N36" s="4"/>
      <c r="O36" s="4"/>
      <c r="P36" s="4"/>
      <c r="Q36" s="4"/>
      <c r="R36" s="4"/>
      <c r="S36" s="4"/>
      <c r="T36" s="4"/>
      <c r="U36" s="4"/>
      <c r="V36" s="4"/>
      <c r="W36" s="4"/>
      <c r="X36" s="4"/>
      <c r="Y36" s="4"/>
      <c r="Z36" s="4"/>
    </row>
    <row r="37" spans="1:26">
      <c r="A37" s="66" t="s">
        <v>102</v>
      </c>
      <c r="B37" s="64"/>
      <c r="C37" s="4"/>
      <c r="D37" s="4"/>
      <c r="E37" s="4"/>
      <c r="F37" s="4"/>
      <c r="G37" s="4"/>
      <c r="H37" s="4"/>
      <c r="I37" s="4"/>
      <c r="J37" s="4"/>
      <c r="K37" s="4"/>
      <c r="L37" s="4"/>
      <c r="M37" s="4"/>
      <c r="N37" s="4"/>
      <c r="O37" s="4"/>
      <c r="P37" s="4"/>
      <c r="Q37" s="4"/>
      <c r="R37" s="4"/>
      <c r="S37" s="4"/>
      <c r="T37" s="4"/>
      <c r="U37" s="4"/>
      <c r="V37" s="4"/>
      <c r="W37" s="4"/>
      <c r="X37" s="4"/>
      <c r="Y37" s="4"/>
      <c r="Z37" s="4"/>
    </row>
    <row r="38" spans="1:26">
      <c r="A38" s="65" t="s">
        <v>103</v>
      </c>
      <c r="B38" s="71">
        <v>90</v>
      </c>
      <c r="C38" s="4"/>
      <c r="D38" s="4"/>
      <c r="E38" s="4"/>
      <c r="F38" s="4"/>
      <c r="G38" s="4"/>
      <c r="H38" s="4"/>
      <c r="I38" s="4"/>
      <c r="J38" s="4"/>
      <c r="K38" s="4"/>
      <c r="L38" s="4"/>
      <c r="M38" s="4"/>
      <c r="N38" s="4"/>
      <c r="O38" s="4"/>
      <c r="P38" s="4"/>
      <c r="Q38" s="4"/>
      <c r="R38" s="4"/>
      <c r="S38" s="4"/>
      <c r="T38" s="4"/>
      <c r="U38" s="4"/>
      <c r="V38" s="4"/>
      <c r="W38" s="4"/>
      <c r="X38" s="4"/>
      <c r="Y38" s="4"/>
      <c r="Z38" s="4"/>
    </row>
    <row r="39" spans="1:26">
      <c r="A39" s="65" t="s">
        <v>104</v>
      </c>
      <c r="B39" s="72" t="s">
        <v>71</v>
      </c>
      <c r="C39" s="4"/>
      <c r="D39" s="4"/>
      <c r="E39" s="4"/>
      <c r="F39" s="4"/>
      <c r="G39" s="4"/>
      <c r="H39" s="4"/>
      <c r="I39" s="4"/>
      <c r="J39" s="4"/>
      <c r="K39" s="4"/>
      <c r="L39" s="4"/>
      <c r="M39" s="4"/>
      <c r="N39" s="4"/>
      <c r="O39" s="4"/>
      <c r="P39" s="4"/>
      <c r="Q39" s="4"/>
      <c r="R39" s="4"/>
      <c r="S39" s="4"/>
      <c r="T39" s="4"/>
      <c r="U39" s="4"/>
      <c r="V39" s="4"/>
      <c r="W39" s="4"/>
      <c r="X39" s="4"/>
      <c r="Y39" s="4"/>
      <c r="Z39" s="4"/>
    </row>
    <row r="40" spans="1:26">
      <c r="A40" s="65" t="s">
        <v>105</v>
      </c>
      <c r="B40" s="72" t="s">
        <v>106</v>
      </c>
      <c r="C40" s="4"/>
      <c r="D40" s="4"/>
      <c r="E40" s="4"/>
      <c r="F40" s="4"/>
      <c r="G40" s="4"/>
      <c r="H40" s="4"/>
      <c r="I40" s="4"/>
      <c r="J40" s="4"/>
      <c r="K40" s="4"/>
      <c r="L40" s="4"/>
      <c r="M40" s="4"/>
      <c r="N40" s="4"/>
      <c r="O40" s="4"/>
      <c r="P40" s="4"/>
      <c r="Q40" s="4"/>
      <c r="R40" s="4"/>
      <c r="S40" s="4"/>
      <c r="T40" s="4"/>
      <c r="U40" s="4"/>
      <c r="V40" s="4"/>
      <c r="W40" s="4"/>
      <c r="X40" s="4"/>
      <c r="Y40" s="4"/>
      <c r="Z40" s="4"/>
    </row>
    <row r="41" spans="1:26">
      <c r="A41" s="65" t="s">
        <v>107</v>
      </c>
      <c r="B41" s="73">
        <v>600</v>
      </c>
      <c r="C41" s="4"/>
      <c r="D41" s="4"/>
      <c r="E41" s="4"/>
      <c r="F41" s="4"/>
      <c r="G41" s="4"/>
      <c r="H41" s="4"/>
      <c r="I41" s="4"/>
      <c r="J41" s="4"/>
      <c r="K41" s="4"/>
      <c r="L41" s="4"/>
      <c r="M41" s="4"/>
      <c r="N41" s="4"/>
      <c r="O41" s="4"/>
      <c r="P41" s="4"/>
      <c r="Q41" s="4"/>
      <c r="R41" s="4"/>
      <c r="S41" s="4"/>
      <c r="T41" s="4"/>
      <c r="U41" s="4"/>
      <c r="V41" s="4"/>
      <c r="W41" s="4"/>
      <c r="X41" s="4"/>
      <c r="Y41" s="4"/>
      <c r="Z41" s="4"/>
    </row>
    <row r="42" spans="1:26">
      <c r="A42" s="65" t="s">
        <v>108</v>
      </c>
      <c r="B42" s="74">
        <v>3150</v>
      </c>
      <c r="C42" s="4"/>
      <c r="D42" s="4"/>
      <c r="E42" s="4"/>
      <c r="F42" s="4"/>
      <c r="G42" s="4"/>
      <c r="H42" s="4"/>
      <c r="I42" s="4"/>
      <c r="J42" s="4"/>
      <c r="K42" s="4"/>
      <c r="L42" s="4"/>
      <c r="M42" s="4"/>
      <c r="N42" s="4"/>
      <c r="O42" s="4"/>
      <c r="P42" s="4"/>
      <c r="Q42" s="4"/>
      <c r="R42" s="4"/>
      <c r="S42" s="4"/>
      <c r="T42" s="4"/>
      <c r="U42" s="4"/>
      <c r="V42" s="4"/>
      <c r="W42" s="4"/>
      <c r="X42" s="4"/>
      <c r="Y42" s="4"/>
      <c r="Z42" s="4"/>
    </row>
    <row r="43" spans="1:26">
      <c r="A43" s="65" t="s">
        <v>109</v>
      </c>
      <c r="B43" s="74" t="s">
        <v>106</v>
      </c>
      <c r="C43" s="4"/>
      <c r="D43" s="4"/>
      <c r="E43" s="4"/>
      <c r="F43" s="4"/>
      <c r="G43" s="4"/>
      <c r="H43" s="4"/>
      <c r="I43" s="4"/>
      <c r="J43" s="4"/>
      <c r="K43" s="4"/>
      <c r="L43" s="4"/>
      <c r="M43" s="4"/>
      <c r="N43" s="4"/>
      <c r="O43" s="4"/>
      <c r="P43" s="4"/>
      <c r="Q43" s="4"/>
      <c r="R43" s="4"/>
      <c r="S43" s="4"/>
      <c r="T43" s="4"/>
      <c r="U43" s="4"/>
      <c r="V43" s="4"/>
      <c r="W43" s="4"/>
      <c r="X43" s="4"/>
      <c r="Y43" s="4"/>
      <c r="Z43" s="4"/>
    </row>
    <row r="44" spans="1:26">
      <c r="A44" s="66" t="s">
        <v>110</v>
      </c>
      <c r="B44" s="74"/>
      <c r="C44" s="4"/>
      <c r="D44" s="4"/>
      <c r="E44" s="4"/>
      <c r="F44" s="4"/>
      <c r="G44" s="4"/>
      <c r="H44" s="4"/>
      <c r="I44" s="4"/>
      <c r="J44" s="4"/>
      <c r="K44" s="4"/>
      <c r="L44" s="4"/>
      <c r="M44" s="4"/>
      <c r="N44" s="4"/>
      <c r="O44" s="4"/>
      <c r="P44" s="4"/>
      <c r="Q44" s="4"/>
      <c r="R44" s="4"/>
      <c r="S44" s="4"/>
      <c r="T44" s="4"/>
      <c r="U44" s="4"/>
      <c r="V44" s="4"/>
      <c r="W44" s="4"/>
      <c r="X44" s="4"/>
      <c r="Y44" s="4"/>
      <c r="Z44" s="4"/>
    </row>
    <row r="45" spans="1:26">
      <c r="A45" s="65" t="s">
        <v>111</v>
      </c>
      <c r="B45" s="75">
        <f>1253*12</f>
        <v>15036</v>
      </c>
      <c r="C45" s="4" t="s">
        <v>112</v>
      </c>
      <c r="D45" s="4"/>
      <c r="E45" s="4"/>
      <c r="F45" s="4"/>
      <c r="G45" s="4"/>
      <c r="H45" s="4"/>
      <c r="I45" s="4"/>
      <c r="J45" s="4"/>
      <c r="K45" s="4"/>
      <c r="L45" s="4"/>
      <c r="M45" s="4"/>
      <c r="N45" s="4"/>
      <c r="O45" s="4"/>
      <c r="P45" s="4"/>
      <c r="Q45" s="4"/>
      <c r="R45" s="4"/>
      <c r="S45" s="4"/>
      <c r="T45" s="4"/>
      <c r="U45" s="4"/>
      <c r="V45" s="4"/>
      <c r="W45" s="4"/>
      <c r="X45" s="4"/>
      <c r="Y45" s="4"/>
      <c r="Z45" s="4"/>
    </row>
    <row r="46" spans="1:26">
      <c r="A46" s="65" t="s">
        <v>113</v>
      </c>
      <c r="B46" s="76">
        <v>2500</v>
      </c>
      <c r="C46" s="77" t="s">
        <v>114</v>
      </c>
      <c r="D46" s="78"/>
      <c r="E46" s="4"/>
      <c r="F46" s="4"/>
      <c r="G46" s="4"/>
      <c r="H46" s="4"/>
      <c r="I46" s="4"/>
      <c r="J46" s="4"/>
      <c r="K46" s="4"/>
      <c r="L46" s="4"/>
      <c r="M46" s="4"/>
      <c r="N46" s="4"/>
      <c r="O46" s="4"/>
      <c r="P46" s="4"/>
      <c r="Q46" s="4"/>
      <c r="R46" s="4"/>
      <c r="S46" s="4"/>
      <c r="T46" s="4"/>
      <c r="U46" s="4"/>
      <c r="V46" s="4"/>
      <c r="W46" s="4"/>
      <c r="X46" s="4"/>
      <c r="Y46" s="4"/>
      <c r="Z46" s="4"/>
    </row>
    <row r="47" spans="1:26">
      <c r="A47" s="65" t="s">
        <v>115</v>
      </c>
      <c r="B47" s="75">
        <v>233</v>
      </c>
      <c r="C47" s="77" t="s">
        <v>116</v>
      </c>
      <c r="D47" s="4"/>
      <c r="E47" s="4"/>
      <c r="F47" s="4"/>
      <c r="G47" s="4"/>
      <c r="H47" s="4"/>
      <c r="I47" s="4"/>
      <c r="J47" s="4"/>
      <c r="K47" s="4"/>
      <c r="L47" s="4"/>
      <c r="M47" s="4"/>
      <c r="N47" s="4"/>
      <c r="O47" s="4"/>
      <c r="P47" s="4"/>
      <c r="Q47" s="4"/>
      <c r="R47" s="4"/>
      <c r="S47" s="4"/>
      <c r="T47" s="4"/>
      <c r="U47" s="4"/>
      <c r="V47" s="4"/>
      <c r="W47" s="4"/>
      <c r="X47" s="4"/>
      <c r="Y47" s="4"/>
      <c r="Z47" s="4"/>
    </row>
    <row r="48" spans="1:26" hidden="1">
      <c r="A48" s="65"/>
      <c r="B48" s="75"/>
      <c r="C48" s="4"/>
      <c r="D48" s="4"/>
      <c r="E48" s="4"/>
      <c r="F48" s="4"/>
      <c r="G48" s="4"/>
      <c r="H48" s="4"/>
      <c r="I48" s="4"/>
      <c r="J48" s="4"/>
      <c r="K48" s="4"/>
      <c r="L48" s="4"/>
      <c r="M48" s="4"/>
      <c r="N48" s="4"/>
      <c r="O48" s="4"/>
      <c r="P48" s="4"/>
      <c r="Q48" s="4"/>
      <c r="R48" s="4"/>
      <c r="S48" s="4"/>
      <c r="T48" s="4"/>
      <c r="U48" s="4"/>
      <c r="V48" s="4"/>
      <c r="W48" s="4"/>
      <c r="X48" s="4"/>
      <c r="Y48" s="4"/>
      <c r="Z48" s="4"/>
    </row>
    <row r="49" spans="1:26">
      <c r="A49" s="66" t="s">
        <v>117</v>
      </c>
      <c r="B49" s="64"/>
      <c r="C49" s="4"/>
      <c r="D49" s="4"/>
      <c r="E49" s="4"/>
      <c r="F49" s="4"/>
      <c r="G49" s="4"/>
      <c r="H49" s="4"/>
      <c r="I49" s="4"/>
      <c r="J49" s="4"/>
      <c r="K49" s="4"/>
      <c r="L49" s="4"/>
      <c r="M49" s="4"/>
      <c r="N49" s="4"/>
      <c r="O49" s="4"/>
      <c r="P49" s="4"/>
      <c r="Q49" s="4"/>
      <c r="R49" s="4"/>
      <c r="S49" s="4"/>
      <c r="T49" s="4"/>
      <c r="U49" s="4"/>
      <c r="V49" s="4"/>
      <c r="W49" s="4"/>
      <c r="X49" s="4"/>
      <c r="Y49" s="4"/>
      <c r="Z49" s="4"/>
    </row>
    <row r="50" spans="1:26">
      <c r="A50" s="65" t="s">
        <v>118</v>
      </c>
      <c r="B50" s="64">
        <v>10.24</v>
      </c>
      <c r="C50" s="4"/>
      <c r="D50" s="4"/>
      <c r="E50" s="4"/>
      <c r="F50" s="4"/>
      <c r="G50" s="4"/>
      <c r="H50" s="4"/>
      <c r="I50" s="4"/>
      <c r="J50" s="4"/>
      <c r="K50" s="4"/>
      <c r="L50" s="4"/>
      <c r="M50" s="4"/>
      <c r="N50" s="4"/>
      <c r="O50" s="4"/>
      <c r="P50" s="4"/>
      <c r="Q50" s="4"/>
      <c r="R50" s="4"/>
      <c r="S50" s="4"/>
      <c r="T50" s="4"/>
      <c r="U50" s="4"/>
      <c r="V50" s="4"/>
      <c r="W50" s="4"/>
      <c r="X50" s="4"/>
      <c r="Y50" s="4"/>
      <c r="Z50" s="4"/>
    </row>
    <row r="51" spans="1:26">
      <c r="A51" s="65" t="s">
        <v>119</v>
      </c>
      <c r="B51" s="64">
        <v>2</v>
      </c>
      <c r="C51" s="4"/>
      <c r="D51" s="4"/>
      <c r="E51" s="4"/>
      <c r="F51" s="4"/>
      <c r="G51" s="4"/>
      <c r="H51" s="4"/>
      <c r="I51" s="4"/>
      <c r="J51" s="4"/>
      <c r="K51" s="4"/>
      <c r="L51" s="4"/>
      <c r="M51" s="4"/>
      <c r="N51" s="4"/>
      <c r="O51" s="4"/>
      <c r="P51" s="4"/>
      <c r="Q51" s="4"/>
      <c r="R51" s="4"/>
      <c r="S51" s="4"/>
      <c r="T51" s="4"/>
      <c r="U51" s="4"/>
      <c r="V51" s="4"/>
      <c r="W51" s="4"/>
      <c r="X51" s="4"/>
      <c r="Y51" s="4"/>
      <c r="Z51" s="4"/>
    </row>
    <row r="52" spans="1:26">
      <c r="A52" s="65" t="s">
        <v>120</v>
      </c>
      <c r="B52" s="64" t="s">
        <v>121</v>
      </c>
      <c r="C52" s="4"/>
      <c r="D52" s="4"/>
      <c r="E52" s="4"/>
      <c r="F52" s="4"/>
      <c r="G52" s="4"/>
      <c r="H52" s="4"/>
      <c r="I52" s="4"/>
      <c r="J52" s="4"/>
      <c r="K52" s="4"/>
      <c r="L52" s="4"/>
      <c r="M52" s="4"/>
      <c r="N52" s="4"/>
      <c r="O52" s="4"/>
      <c r="P52" s="4"/>
      <c r="Q52" s="4"/>
      <c r="R52" s="4"/>
      <c r="S52" s="4"/>
      <c r="T52" s="4"/>
      <c r="U52" s="4"/>
      <c r="V52" s="4"/>
      <c r="W52" s="4"/>
      <c r="X52" s="4"/>
      <c r="Y52" s="4"/>
      <c r="Z52" s="4"/>
    </row>
    <row r="53" spans="1:26">
      <c r="A53" s="65" t="s">
        <v>122</v>
      </c>
      <c r="B53" s="71">
        <v>129</v>
      </c>
      <c r="C53" s="4"/>
      <c r="D53" s="4"/>
      <c r="E53" s="4"/>
      <c r="F53" s="4"/>
      <c r="G53" s="4"/>
      <c r="H53" s="4"/>
      <c r="I53" s="4"/>
      <c r="J53" s="4"/>
      <c r="K53" s="4"/>
      <c r="L53" s="4"/>
      <c r="M53" s="4"/>
      <c r="N53" s="4"/>
      <c r="O53" s="4"/>
      <c r="P53" s="4"/>
      <c r="Q53" s="4"/>
      <c r="R53" s="4"/>
      <c r="S53" s="4"/>
      <c r="T53" s="4"/>
      <c r="U53" s="4"/>
      <c r="V53" s="4"/>
      <c r="W53" s="4"/>
      <c r="X53" s="4"/>
      <c r="Y53" s="4"/>
      <c r="Z53" s="4"/>
    </row>
    <row r="54" spans="1:26">
      <c r="A54" s="65" t="s">
        <v>123</v>
      </c>
      <c r="B54" s="70">
        <v>534.70000000000005</v>
      </c>
      <c r="C54" s="4"/>
      <c r="D54" s="4"/>
      <c r="E54" s="4"/>
      <c r="F54" s="4"/>
      <c r="G54" s="4"/>
      <c r="H54" s="4"/>
      <c r="I54" s="4"/>
      <c r="J54" s="4"/>
      <c r="K54" s="4"/>
      <c r="L54" s="4"/>
      <c r="M54" s="4"/>
      <c r="N54" s="4"/>
      <c r="O54" s="4"/>
      <c r="P54" s="4"/>
      <c r="Q54" s="4"/>
      <c r="R54" s="4"/>
      <c r="S54" s="4"/>
      <c r="T54" s="4"/>
      <c r="U54" s="4"/>
      <c r="V54" s="4"/>
      <c r="W54" s="4"/>
      <c r="X54" s="4"/>
      <c r="Y54" s="4"/>
      <c r="Z54" s="4"/>
    </row>
    <row r="55" spans="1:26">
      <c r="A55" s="65" t="s">
        <v>124</v>
      </c>
      <c r="B55" s="71">
        <v>2199</v>
      </c>
      <c r="C55" s="4"/>
      <c r="D55" s="4"/>
      <c r="E55" s="4"/>
      <c r="F55" s="4"/>
      <c r="G55" s="4"/>
      <c r="H55" s="4"/>
      <c r="I55" s="4"/>
      <c r="J55" s="4"/>
      <c r="K55" s="4"/>
      <c r="L55" s="4"/>
      <c r="M55" s="4"/>
      <c r="N55" s="4"/>
      <c r="O55" s="4"/>
      <c r="P55" s="4"/>
      <c r="Q55" s="4"/>
      <c r="R55" s="4"/>
      <c r="S55" s="4"/>
      <c r="T55" s="4"/>
      <c r="U55" s="4"/>
      <c r="V55" s="4"/>
      <c r="W55" s="4"/>
      <c r="X55" s="4"/>
      <c r="Y55" s="4"/>
      <c r="Z55" s="4"/>
    </row>
    <row r="56" spans="1:26">
      <c r="A56" s="65" t="s">
        <v>125</v>
      </c>
      <c r="B56" s="64">
        <v>549</v>
      </c>
      <c r="C56" s="4"/>
      <c r="D56" s="4"/>
      <c r="E56" s="4"/>
      <c r="F56" s="4"/>
      <c r="G56" s="4"/>
      <c r="H56" s="4"/>
      <c r="I56" s="4"/>
      <c r="J56" s="4"/>
      <c r="K56" s="4"/>
      <c r="L56" s="4"/>
      <c r="M56" s="4"/>
      <c r="N56" s="4"/>
      <c r="O56" s="4"/>
      <c r="P56" s="4"/>
      <c r="Q56" s="4"/>
      <c r="R56" s="4"/>
      <c r="S56" s="4"/>
      <c r="T56" s="4"/>
      <c r="U56" s="4"/>
      <c r="V56" s="4"/>
      <c r="W56" s="4"/>
      <c r="X56" s="4"/>
      <c r="Y56" s="4"/>
      <c r="Z56" s="4"/>
    </row>
    <row r="57" spans="1:26">
      <c r="A57" s="65" t="s">
        <v>126</v>
      </c>
      <c r="B57" s="70">
        <v>321.85000000000002</v>
      </c>
      <c r="C57" s="4"/>
      <c r="D57" s="4"/>
      <c r="E57" s="4"/>
      <c r="F57" s="4"/>
      <c r="G57" s="4"/>
      <c r="H57" s="4"/>
      <c r="I57" s="4"/>
      <c r="J57" s="4"/>
      <c r="K57" s="4"/>
      <c r="L57" s="4"/>
      <c r="M57" s="4"/>
      <c r="N57" s="4"/>
      <c r="O57" s="4"/>
      <c r="P57" s="4"/>
      <c r="Q57" s="4"/>
      <c r="R57" s="4"/>
      <c r="S57" s="4"/>
      <c r="T57" s="4"/>
      <c r="U57" s="4"/>
      <c r="V57" s="4"/>
      <c r="W57" s="4"/>
      <c r="X57" s="4"/>
      <c r="Y57" s="4"/>
      <c r="Z57" s="4"/>
    </row>
    <row r="58" spans="1:26">
      <c r="A58" s="65" t="s">
        <v>127</v>
      </c>
      <c r="B58" s="71">
        <v>500</v>
      </c>
      <c r="C58" s="4"/>
      <c r="D58" s="4"/>
      <c r="E58" s="4"/>
      <c r="F58" s="4"/>
      <c r="G58" s="4"/>
      <c r="H58" s="4"/>
      <c r="I58" s="4"/>
      <c r="J58" s="4"/>
      <c r="K58" s="4"/>
      <c r="L58" s="4"/>
      <c r="M58" s="4"/>
      <c r="N58" s="4"/>
      <c r="O58" s="4"/>
      <c r="P58" s="4"/>
      <c r="Q58" s="4"/>
      <c r="R58" s="4"/>
      <c r="S58" s="4"/>
      <c r="T58" s="4"/>
      <c r="U58" s="4"/>
      <c r="V58" s="4"/>
      <c r="W58" s="4"/>
      <c r="X58" s="4"/>
      <c r="Y58" s="4"/>
      <c r="Z58" s="4"/>
    </row>
    <row r="59" spans="1:26">
      <c r="A59" s="65" t="s">
        <v>128</v>
      </c>
      <c r="B59" s="71">
        <v>200</v>
      </c>
      <c r="C59" s="4"/>
      <c r="D59" s="4"/>
      <c r="E59" s="4"/>
      <c r="F59" s="4"/>
      <c r="G59" s="4"/>
      <c r="H59" s="4"/>
      <c r="I59" s="4"/>
      <c r="J59" s="4"/>
      <c r="K59" s="4"/>
      <c r="L59" s="4"/>
      <c r="M59" s="4"/>
      <c r="N59" s="4"/>
      <c r="O59" s="4"/>
      <c r="P59" s="4"/>
      <c r="Q59" s="4"/>
      <c r="R59" s="4"/>
      <c r="S59" s="4"/>
      <c r="T59" s="4"/>
      <c r="U59" s="4"/>
      <c r="V59" s="4"/>
      <c r="W59" s="4"/>
      <c r="X59" s="4"/>
      <c r="Y59" s="4"/>
      <c r="Z59" s="4"/>
    </row>
    <row r="60" spans="1:26">
      <c r="A60" s="65" t="s">
        <v>129</v>
      </c>
      <c r="B60" s="71" t="s">
        <v>130</v>
      </c>
      <c r="C60" s="4"/>
      <c r="D60" s="4"/>
      <c r="E60" s="4"/>
      <c r="F60" s="4"/>
      <c r="G60" s="4"/>
      <c r="H60" s="4"/>
      <c r="I60" s="4"/>
      <c r="J60" s="4"/>
      <c r="K60" s="4"/>
      <c r="L60" s="4"/>
      <c r="M60" s="4"/>
      <c r="N60" s="4"/>
      <c r="O60" s="4"/>
      <c r="P60" s="4"/>
      <c r="Q60" s="4"/>
      <c r="R60" s="4"/>
      <c r="S60" s="4"/>
      <c r="T60" s="4"/>
      <c r="U60" s="4"/>
      <c r="V60" s="4"/>
      <c r="W60" s="4"/>
      <c r="X60" s="4"/>
      <c r="Y60" s="4"/>
      <c r="Z60" s="4"/>
    </row>
    <row r="61" spans="1:26">
      <c r="A61" s="65" t="s">
        <v>131</v>
      </c>
      <c r="B61" s="79">
        <v>0.52</v>
      </c>
      <c r="C61" s="4"/>
      <c r="D61" s="4"/>
      <c r="E61" s="4"/>
      <c r="F61" s="4"/>
      <c r="G61" s="4"/>
      <c r="H61" s="4"/>
      <c r="I61" s="4"/>
      <c r="J61" s="4"/>
      <c r="K61" s="4"/>
      <c r="L61" s="4"/>
      <c r="M61" s="4"/>
      <c r="N61" s="4"/>
      <c r="O61" s="4"/>
      <c r="P61" s="4"/>
      <c r="Q61" s="4"/>
      <c r="R61" s="4"/>
      <c r="S61" s="4"/>
      <c r="T61" s="4"/>
      <c r="U61" s="4"/>
      <c r="V61" s="4"/>
      <c r="W61" s="4"/>
      <c r="X61" s="4"/>
      <c r="Y61" s="4"/>
      <c r="Z61" s="4"/>
    </row>
    <row r="62" spans="1:26">
      <c r="A62" s="65" t="s">
        <v>132</v>
      </c>
      <c r="B62" s="71">
        <v>1125</v>
      </c>
      <c r="C62" s="4"/>
      <c r="D62" s="4"/>
      <c r="E62" s="4"/>
      <c r="F62" s="4"/>
      <c r="G62" s="4"/>
      <c r="H62" s="4"/>
      <c r="I62" s="4"/>
      <c r="J62" s="4"/>
      <c r="K62" s="4"/>
      <c r="L62" s="4"/>
      <c r="M62" s="4"/>
      <c r="N62" s="4"/>
      <c r="O62" s="4"/>
      <c r="P62" s="4"/>
      <c r="Q62" s="4"/>
      <c r="R62" s="4"/>
      <c r="S62" s="4"/>
      <c r="T62" s="4"/>
      <c r="U62" s="4"/>
      <c r="V62" s="4"/>
      <c r="W62" s="4"/>
      <c r="X62" s="4"/>
      <c r="Y62" s="4"/>
      <c r="Z62" s="4"/>
    </row>
    <row r="63" spans="1:26">
      <c r="A63" s="65" t="s">
        <v>133</v>
      </c>
      <c r="B63" s="70">
        <v>7.0000000000000007E-2</v>
      </c>
      <c r="C63" s="4"/>
      <c r="D63" s="4"/>
      <c r="E63" s="4"/>
      <c r="F63" s="4"/>
      <c r="G63" s="4"/>
      <c r="H63" s="4"/>
      <c r="I63" s="4"/>
      <c r="J63" s="4"/>
      <c r="K63" s="4"/>
      <c r="L63" s="4"/>
      <c r="M63" s="4"/>
      <c r="N63" s="4"/>
      <c r="O63" s="4"/>
      <c r="P63" s="4"/>
      <c r="Q63" s="4"/>
      <c r="R63" s="4"/>
      <c r="S63" s="4"/>
      <c r="T63" s="4"/>
      <c r="U63" s="4"/>
      <c r="V63" s="4"/>
      <c r="W63" s="4"/>
      <c r="X63" s="4"/>
      <c r="Y63" s="4"/>
      <c r="Z63" s="4"/>
    </row>
    <row r="64" spans="1:26">
      <c r="A64" s="65" t="s">
        <v>134</v>
      </c>
      <c r="B64" s="64" t="s">
        <v>135</v>
      </c>
      <c r="C64" s="4"/>
      <c r="D64" s="4"/>
      <c r="E64" s="4"/>
      <c r="F64" s="4"/>
      <c r="G64" s="4"/>
      <c r="H64" s="4"/>
      <c r="I64" s="4"/>
      <c r="J64" s="4"/>
      <c r="K64" s="4"/>
      <c r="L64" s="4"/>
      <c r="M64" s="4"/>
      <c r="N64" s="4"/>
      <c r="O64" s="4"/>
      <c r="P64" s="4"/>
      <c r="Q64" s="4"/>
      <c r="R64" s="4"/>
      <c r="S64" s="4"/>
      <c r="T64" s="4"/>
      <c r="U64" s="4"/>
      <c r="V64" s="4"/>
      <c r="W64" s="4"/>
      <c r="X64" s="4"/>
      <c r="Y64" s="4"/>
      <c r="Z64" s="4"/>
    </row>
    <row r="65" spans="1:26">
      <c r="A65" s="66" t="s">
        <v>31</v>
      </c>
      <c r="B65" s="64"/>
      <c r="C65" s="4"/>
      <c r="D65" s="4"/>
      <c r="E65" s="4"/>
      <c r="F65" s="4"/>
      <c r="G65" s="4"/>
      <c r="H65" s="4"/>
      <c r="I65" s="4"/>
      <c r="J65" s="4"/>
      <c r="K65" s="4"/>
      <c r="L65" s="4"/>
      <c r="M65" s="4"/>
      <c r="N65" s="4"/>
      <c r="O65" s="4"/>
      <c r="P65" s="4"/>
      <c r="Q65" s="4"/>
      <c r="R65" s="4"/>
      <c r="S65" s="4"/>
      <c r="T65" s="4"/>
      <c r="U65" s="4"/>
      <c r="V65" s="4"/>
      <c r="W65" s="4"/>
      <c r="X65" s="4"/>
      <c r="Y65" s="4"/>
      <c r="Z65" s="4"/>
    </row>
    <row r="66" spans="1:26">
      <c r="A66" s="65" t="s">
        <v>136</v>
      </c>
      <c r="B66" s="64">
        <v>12050</v>
      </c>
      <c r="C66" s="4"/>
      <c r="D66" s="4"/>
      <c r="E66" s="4"/>
      <c r="F66" s="4"/>
      <c r="G66" s="4"/>
      <c r="H66" s="4"/>
      <c r="I66" s="4"/>
      <c r="J66" s="4"/>
      <c r="K66" s="4"/>
      <c r="L66" s="4"/>
      <c r="M66" s="4"/>
      <c r="N66" s="4"/>
      <c r="O66" s="4"/>
      <c r="P66" s="4"/>
      <c r="Q66" s="4"/>
      <c r="R66" s="4"/>
      <c r="S66" s="4"/>
      <c r="T66" s="4"/>
      <c r="U66" s="4"/>
      <c r="V66" s="4"/>
      <c r="W66" s="4"/>
      <c r="X66" s="4"/>
      <c r="Y66" s="4"/>
      <c r="Z66" s="4"/>
    </row>
    <row r="67" spans="1:26">
      <c r="A67" s="65" t="s">
        <v>137</v>
      </c>
      <c r="B67" s="64">
        <v>60000</v>
      </c>
      <c r="C67" s="4"/>
      <c r="D67" s="4"/>
      <c r="E67" s="4"/>
      <c r="F67" s="4"/>
      <c r="G67" s="4"/>
      <c r="H67" s="4"/>
      <c r="I67" s="4"/>
      <c r="J67" s="4"/>
      <c r="K67" s="4"/>
      <c r="L67" s="4"/>
      <c r="M67" s="4"/>
      <c r="N67" s="4"/>
      <c r="O67" s="4"/>
      <c r="P67" s="4"/>
      <c r="Q67" s="4"/>
      <c r="R67" s="4"/>
      <c r="S67" s="4"/>
      <c r="T67" s="4"/>
      <c r="U67" s="4"/>
      <c r="V67" s="4"/>
      <c r="W67" s="4"/>
      <c r="X67" s="4"/>
      <c r="Y67" s="4"/>
      <c r="Z67" s="4"/>
    </row>
    <row r="68" spans="1:26">
      <c r="A68" s="66" t="s">
        <v>138</v>
      </c>
      <c r="B68" s="64"/>
      <c r="C68" s="4"/>
      <c r="D68" s="4"/>
      <c r="E68" s="4"/>
      <c r="F68" s="4"/>
      <c r="G68" s="4"/>
      <c r="H68" s="4"/>
      <c r="I68" s="4"/>
      <c r="J68" s="4"/>
      <c r="K68" s="4"/>
      <c r="L68" s="4"/>
      <c r="M68" s="4"/>
      <c r="N68" s="4"/>
      <c r="O68" s="4"/>
      <c r="P68" s="4"/>
      <c r="Q68" s="4"/>
      <c r="R68" s="4"/>
      <c r="S68" s="4"/>
      <c r="T68" s="4"/>
      <c r="U68" s="4"/>
      <c r="V68" s="4"/>
      <c r="W68" s="4"/>
      <c r="X68" s="4"/>
      <c r="Y68" s="4"/>
      <c r="Z68" s="4"/>
    </row>
    <row r="69" spans="1:26">
      <c r="A69" s="65" t="s">
        <v>139</v>
      </c>
      <c r="B69" s="64">
        <v>6500</v>
      </c>
      <c r="C69" s="4"/>
      <c r="D69" s="4"/>
      <c r="E69" s="4"/>
      <c r="F69" s="4"/>
      <c r="G69" s="4"/>
      <c r="H69" s="4"/>
      <c r="I69" s="4"/>
      <c r="J69" s="4"/>
      <c r="K69" s="4"/>
      <c r="L69" s="4"/>
      <c r="M69" s="4"/>
      <c r="N69" s="4"/>
      <c r="O69" s="4"/>
      <c r="P69" s="4"/>
      <c r="Q69" s="4"/>
      <c r="R69" s="4"/>
      <c r="S69" s="4"/>
      <c r="T69" s="4"/>
      <c r="U69" s="4"/>
      <c r="V69" s="4"/>
      <c r="W69" s="4"/>
      <c r="X69" s="4"/>
      <c r="Y69" s="4"/>
      <c r="Z69" s="4"/>
    </row>
    <row r="70" spans="1:26">
      <c r="A70" s="65"/>
      <c r="B70" s="64"/>
      <c r="C70" s="4"/>
      <c r="D70" s="4"/>
      <c r="E70" s="4"/>
      <c r="F70" s="4"/>
      <c r="G70" s="4"/>
      <c r="H70" s="4"/>
      <c r="I70" s="4"/>
      <c r="J70" s="4"/>
      <c r="K70" s="4"/>
      <c r="L70" s="4"/>
      <c r="M70" s="4"/>
      <c r="N70" s="4"/>
      <c r="O70" s="4"/>
      <c r="P70" s="4"/>
      <c r="Q70" s="4"/>
      <c r="R70" s="4"/>
      <c r="S70" s="4"/>
      <c r="T70" s="4"/>
      <c r="U70" s="4"/>
      <c r="V70" s="4"/>
      <c r="W70" s="4"/>
      <c r="X70" s="4"/>
      <c r="Y70" s="4"/>
      <c r="Z70" s="4"/>
    </row>
    <row r="71" spans="1:26">
      <c r="A71" s="65"/>
      <c r="B71" s="64"/>
      <c r="C71" s="4"/>
      <c r="D71" s="4"/>
      <c r="E71" s="4"/>
      <c r="F71" s="4"/>
      <c r="G71" s="4"/>
      <c r="H71" s="4"/>
      <c r="I71" s="4"/>
      <c r="J71" s="4"/>
      <c r="K71" s="4"/>
      <c r="L71" s="4"/>
      <c r="M71" s="4"/>
      <c r="N71" s="4"/>
      <c r="O71" s="4"/>
      <c r="P71" s="4"/>
      <c r="Q71" s="4"/>
      <c r="R71" s="4"/>
      <c r="S71" s="4"/>
      <c r="T71" s="4"/>
      <c r="U71" s="4"/>
      <c r="V71" s="4"/>
      <c r="W71" s="4"/>
      <c r="X71" s="4"/>
      <c r="Y71" s="4"/>
      <c r="Z71" s="4"/>
    </row>
    <row r="72" spans="1:26" ht="45">
      <c r="A72" s="67" t="s">
        <v>140</v>
      </c>
      <c r="B72" s="64"/>
      <c r="C72" s="4"/>
      <c r="D72" s="4"/>
      <c r="E72" s="4"/>
      <c r="F72" s="4"/>
      <c r="G72" s="4"/>
      <c r="H72" s="4"/>
      <c r="I72" s="4"/>
      <c r="J72" s="4"/>
      <c r="K72" s="4"/>
      <c r="L72" s="4"/>
      <c r="M72" s="4"/>
      <c r="N72" s="4"/>
      <c r="O72" s="4"/>
      <c r="P72" s="4"/>
      <c r="Q72" s="4"/>
      <c r="R72" s="4"/>
      <c r="S72" s="4"/>
      <c r="T72" s="4"/>
      <c r="U72" s="4"/>
      <c r="V72" s="4"/>
      <c r="W72" s="4"/>
      <c r="X72" s="4"/>
      <c r="Y72" s="4"/>
      <c r="Z72" s="4"/>
    </row>
    <row r="73" spans="1:26">
      <c r="A73" s="65"/>
      <c r="B73" s="64"/>
      <c r="C73" s="4"/>
      <c r="D73" s="4"/>
      <c r="E73" s="4"/>
      <c r="F73" s="4"/>
      <c r="G73" s="4"/>
      <c r="H73" s="4"/>
      <c r="I73" s="4"/>
      <c r="J73" s="4"/>
      <c r="K73" s="4"/>
      <c r="L73" s="4"/>
      <c r="M73" s="4"/>
      <c r="N73" s="4"/>
      <c r="O73" s="4"/>
      <c r="P73" s="4"/>
      <c r="Q73" s="4"/>
      <c r="R73" s="4"/>
      <c r="S73" s="4"/>
      <c r="T73" s="4"/>
      <c r="U73" s="4"/>
      <c r="V73" s="4"/>
      <c r="W73" s="4"/>
      <c r="X73" s="4"/>
      <c r="Y73" s="4"/>
      <c r="Z73" s="4"/>
    </row>
    <row r="74" spans="1:26">
      <c r="A74" s="65"/>
      <c r="B74" s="64"/>
      <c r="C74" s="4"/>
      <c r="D74" s="4"/>
      <c r="E74" s="4"/>
      <c r="F74" s="4"/>
      <c r="G74" s="4"/>
      <c r="H74" s="4"/>
      <c r="I74" s="4"/>
      <c r="J74" s="4"/>
      <c r="K74" s="4"/>
      <c r="L74" s="4"/>
      <c r="M74" s="4"/>
      <c r="N74" s="4"/>
      <c r="O74" s="4"/>
      <c r="P74" s="4"/>
      <c r="Q74" s="4"/>
      <c r="R74" s="4"/>
      <c r="S74" s="4"/>
      <c r="T74" s="4"/>
      <c r="U74" s="4"/>
      <c r="V74" s="4"/>
      <c r="W74" s="4"/>
      <c r="X74" s="4"/>
      <c r="Y74" s="4"/>
      <c r="Z74" s="4"/>
    </row>
    <row r="75" spans="1:26">
      <c r="A75" s="65"/>
      <c r="B75" s="64"/>
      <c r="C75" s="4"/>
      <c r="D75" s="4"/>
      <c r="E75" s="4"/>
      <c r="F75" s="4"/>
      <c r="G75" s="4"/>
      <c r="H75" s="4"/>
      <c r="I75" s="4"/>
      <c r="J75" s="4"/>
      <c r="K75" s="4"/>
      <c r="L75" s="4"/>
      <c r="M75" s="4"/>
      <c r="N75" s="4"/>
      <c r="O75" s="4"/>
      <c r="P75" s="4"/>
      <c r="Q75" s="4"/>
      <c r="R75" s="4"/>
      <c r="S75" s="4"/>
      <c r="T75" s="4"/>
      <c r="U75" s="4"/>
      <c r="V75" s="4"/>
      <c r="W75" s="4"/>
      <c r="X75" s="4"/>
      <c r="Y75" s="4"/>
      <c r="Z75" s="4"/>
    </row>
    <row r="76" spans="1:26">
      <c r="A76" s="65"/>
      <c r="B76" s="64"/>
      <c r="C76" s="4"/>
      <c r="D76" s="4"/>
      <c r="E76" s="4"/>
      <c r="F76" s="4"/>
      <c r="G76" s="4"/>
      <c r="H76" s="4"/>
      <c r="I76" s="4"/>
      <c r="J76" s="4"/>
      <c r="K76" s="4"/>
      <c r="L76" s="4"/>
      <c r="M76" s="4"/>
      <c r="N76" s="4"/>
      <c r="O76" s="4"/>
      <c r="P76" s="4"/>
      <c r="Q76" s="4"/>
      <c r="R76" s="4"/>
      <c r="S76" s="4"/>
      <c r="T76" s="4"/>
      <c r="U76" s="4"/>
      <c r="V76" s="4"/>
      <c r="W76" s="4"/>
      <c r="X76" s="4"/>
      <c r="Y76" s="4"/>
      <c r="Z76" s="4"/>
    </row>
    <row r="77" spans="1:26">
      <c r="A77" s="65"/>
      <c r="B77" s="64"/>
      <c r="C77" s="4"/>
      <c r="D77" s="4"/>
      <c r="E77" s="4"/>
      <c r="F77" s="4"/>
      <c r="G77" s="4"/>
      <c r="H77" s="4"/>
      <c r="I77" s="4"/>
      <c r="J77" s="4"/>
      <c r="K77" s="4"/>
      <c r="L77" s="4"/>
      <c r="M77" s="4"/>
      <c r="N77" s="4"/>
      <c r="O77" s="4"/>
      <c r="P77" s="4"/>
      <c r="Q77" s="4"/>
      <c r="R77" s="4"/>
      <c r="S77" s="4"/>
      <c r="T77" s="4"/>
      <c r="U77" s="4"/>
      <c r="V77" s="4"/>
      <c r="W77" s="4"/>
      <c r="X77" s="4"/>
      <c r="Y77" s="4"/>
      <c r="Z77" s="4"/>
    </row>
    <row r="78" spans="1:26">
      <c r="A78" s="65"/>
      <c r="B78" s="64"/>
      <c r="C78" s="4"/>
      <c r="D78" s="4"/>
      <c r="E78" s="4"/>
      <c r="F78" s="4"/>
      <c r="G78" s="4"/>
      <c r="H78" s="4"/>
      <c r="I78" s="4"/>
      <c r="J78" s="4"/>
      <c r="K78" s="4"/>
      <c r="L78" s="4"/>
      <c r="M78" s="4"/>
      <c r="N78" s="4"/>
      <c r="O78" s="4"/>
      <c r="P78" s="4"/>
      <c r="Q78" s="4"/>
      <c r="R78" s="4"/>
      <c r="S78" s="4"/>
      <c r="T78" s="4"/>
      <c r="U78" s="4"/>
      <c r="V78" s="4"/>
      <c r="W78" s="4"/>
      <c r="X78" s="4"/>
      <c r="Y78" s="4"/>
      <c r="Z78" s="4"/>
    </row>
    <row r="79" spans="1:26">
      <c r="A79" s="65"/>
      <c r="B79" s="64"/>
      <c r="C79" s="4"/>
      <c r="D79" s="4"/>
      <c r="E79" s="4"/>
      <c r="F79" s="4"/>
      <c r="G79" s="4"/>
      <c r="H79" s="4"/>
      <c r="I79" s="4"/>
      <c r="J79" s="4"/>
      <c r="K79" s="4"/>
      <c r="L79" s="4"/>
      <c r="M79" s="4"/>
      <c r="N79" s="4"/>
      <c r="O79" s="4"/>
      <c r="P79" s="4"/>
      <c r="Q79" s="4"/>
      <c r="R79" s="4"/>
      <c r="S79" s="4"/>
      <c r="T79" s="4"/>
      <c r="U79" s="4"/>
      <c r="V79" s="4"/>
      <c r="W79" s="4"/>
      <c r="X79" s="4"/>
      <c r="Y79" s="4"/>
      <c r="Z79" s="4"/>
    </row>
    <row r="80" spans="1:26">
      <c r="A80" s="65"/>
      <c r="B80" s="64"/>
      <c r="C80" s="4"/>
      <c r="D80" s="4"/>
      <c r="E80" s="4"/>
      <c r="F80" s="4"/>
      <c r="G80" s="4"/>
      <c r="H80" s="4"/>
      <c r="I80" s="4"/>
      <c r="J80" s="4"/>
      <c r="K80" s="4"/>
      <c r="L80" s="4"/>
      <c r="M80" s="4"/>
      <c r="N80" s="4"/>
      <c r="O80" s="4"/>
      <c r="P80" s="4"/>
      <c r="Q80" s="4"/>
      <c r="R80" s="4"/>
      <c r="S80" s="4"/>
      <c r="T80" s="4"/>
      <c r="U80" s="4"/>
      <c r="V80" s="4"/>
      <c r="W80" s="4"/>
      <c r="X80" s="4"/>
      <c r="Y80" s="4"/>
      <c r="Z80" s="4"/>
    </row>
    <row r="81" spans="1:26">
      <c r="A81" s="65"/>
      <c r="B81" s="64"/>
      <c r="C81" s="4"/>
      <c r="D81" s="4"/>
      <c r="E81" s="4"/>
      <c r="F81" s="4"/>
      <c r="G81" s="4"/>
      <c r="H81" s="4"/>
      <c r="I81" s="4"/>
      <c r="J81" s="4"/>
      <c r="K81" s="4"/>
      <c r="L81" s="4"/>
      <c r="M81" s="4"/>
      <c r="N81" s="4"/>
      <c r="O81" s="4"/>
      <c r="P81" s="4"/>
      <c r="Q81" s="4"/>
      <c r="R81" s="4"/>
      <c r="S81" s="4"/>
      <c r="T81" s="4"/>
      <c r="U81" s="4"/>
      <c r="V81" s="4"/>
      <c r="W81" s="4"/>
      <c r="X81" s="4"/>
      <c r="Y81" s="4"/>
      <c r="Z81" s="4"/>
    </row>
    <row r="82" spans="1:26">
      <c r="A82" s="65"/>
      <c r="B82" s="64"/>
      <c r="C82" s="4"/>
      <c r="D82" s="4"/>
      <c r="E82" s="4"/>
      <c r="F82" s="4"/>
      <c r="G82" s="4"/>
      <c r="H82" s="4"/>
      <c r="I82" s="4"/>
      <c r="J82" s="4"/>
      <c r="K82" s="4"/>
      <c r="L82" s="4"/>
      <c r="M82" s="4"/>
      <c r="N82" s="4"/>
      <c r="O82" s="4"/>
      <c r="P82" s="4"/>
      <c r="Q82" s="4"/>
      <c r="R82" s="4"/>
      <c r="S82" s="4"/>
      <c r="T82" s="4"/>
      <c r="U82" s="4"/>
      <c r="V82" s="4"/>
      <c r="W82" s="4"/>
      <c r="X82" s="4"/>
      <c r="Y82" s="4"/>
      <c r="Z82" s="4"/>
    </row>
    <row r="83" spans="1:26">
      <c r="A83" s="65"/>
      <c r="B83" s="64"/>
      <c r="C83" s="4"/>
      <c r="D83" s="4"/>
      <c r="E83" s="4"/>
      <c r="F83" s="4"/>
      <c r="G83" s="4"/>
      <c r="H83" s="4"/>
      <c r="I83" s="4"/>
      <c r="J83" s="4"/>
      <c r="K83" s="4"/>
      <c r="L83" s="4"/>
      <c r="M83" s="4"/>
      <c r="N83" s="4"/>
      <c r="O83" s="4"/>
      <c r="P83" s="4"/>
      <c r="Q83" s="4"/>
      <c r="R83" s="4"/>
      <c r="S83" s="4"/>
      <c r="T83" s="4"/>
      <c r="U83" s="4"/>
      <c r="V83" s="4"/>
      <c r="W83" s="4"/>
      <c r="X83" s="4"/>
      <c r="Y83" s="4"/>
      <c r="Z83" s="4"/>
    </row>
    <row r="84" spans="1:26">
      <c r="A84" s="65"/>
      <c r="B84" s="64"/>
      <c r="C84" s="4"/>
      <c r="D84" s="4"/>
      <c r="E84" s="4"/>
      <c r="F84" s="4"/>
      <c r="G84" s="4"/>
      <c r="H84" s="4"/>
      <c r="I84" s="4"/>
      <c r="J84" s="4"/>
      <c r="K84" s="4"/>
      <c r="L84" s="4"/>
      <c r="M84" s="4"/>
      <c r="N84" s="4"/>
      <c r="O84" s="4"/>
      <c r="P84" s="4"/>
      <c r="Q84" s="4"/>
      <c r="R84" s="4"/>
      <c r="S84" s="4"/>
      <c r="T84" s="4"/>
      <c r="U84" s="4"/>
      <c r="V84" s="4"/>
      <c r="W84" s="4"/>
      <c r="X84" s="4"/>
      <c r="Y84" s="4"/>
      <c r="Z84" s="4"/>
    </row>
    <row r="85" spans="1:26">
      <c r="A85" s="65"/>
      <c r="B85" s="64"/>
      <c r="C85" s="4"/>
      <c r="D85" s="4"/>
      <c r="E85" s="4"/>
      <c r="F85" s="4"/>
      <c r="G85" s="4"/>
      <c r="H85" s="4"/>
      <c r="I85" s="4"/>
      <c r="J85" s="4"/>
      <c r="K85" s="4"/>
      <c r="L85" s="4"/>
      <c r="M85" s="4"/>
      <c r="N85" s="4"/>
      <c r="O85" s="4"/>
      <c r="P85" s="4"/>
      <c r="Q85" s="4"/>
      <c r="R85" s="4"/>
      <c r="S85" s="4"/>
      <c r="T85" s="4"/>
      <c r="U85" s="4"/>
      <c r="V85" s="4"/>
      <c r="W85" s="4"/>
      <c r="X85" s="4"/>
      <c r="Y85" s="4"/>
      <c r="Z85" s="4"/>
    </row>
    <row r="86" spans="1:26">
      <c r="A86" s="65"/>
      <c r="B86" s="64"/>
      <c r="C86" s="4"/>
      <c r="D86" s="4"/>
      <c r="E86" s="4"/>
      <c r="F86" s="4"/>
      <c r="G86" s="4"/>
      <c r="H86" s="4"/>
      <c r="I86" s="4"/>
      <c r="J86" s="4"/>
      <c r="K86" s="4"/>
      <c r="L86" s="4"/>
      <c r="M86" s="4"/>
      <c r="N86" s="4"/>
      <c r="O86" s="4"/>
      <c r="P86" s="4"/>
      <c r="Q86" s="4"/>
      <c r="R86" s="4"/>
      <c r="S86" s="4"/>
      <c r="T86" s="4"/>
      <c r="U86" s="4"/>
      <c r="V86" s="4"/>
      <c r="W86" s="4"/>
      <c r="X86" s="4"/>
      <c r="Y86" s="4"/>
      <c r="Z86" s="4"/>
    </row>
    <row r="87" spans="1:26">
      <c r="A87" s="65"/>
      <c r="B87" s="64"/>
      <c r="C87" s="4"/>
      <c r="D87" s="4"/>
      <c r="E87" s="4"/>
      <c r="F87" s="4"/>
      <c r="G87" s="4"/>
      <c r="H87" s="4"/>
      <c r="I87" s="4"/>
      <c r="J87" s="4"/>
      <c r="K87" s="4"/>
      <c r="L87" s="4"/>
      <c r="M87" s="4"/>
      <c r="N87" s="4"/>
      <c r="O87" s="4"/>
      <c r="P87" s="4"/>
      <c r="Q87" s="4"/>
      <c r="R87" s="4"/>
      <c r="S87" s="4"/>
      <c r="T87" s="4"/>
      <c r="U87" s="4"/>
      <c r="V87" s="4"/>
      <c r="W87" s="4"/>
      <c r="X87" s="4"/>
      <c r="Y87" s="4"/>
      <c r="Z87" s="4"/>
    </row>
    <row r="88" spans="1:26">
      <c r="A88" s="65"/>
      <c r="B88" s="64"/>
      <c r="C88" s="4"/>
      <c r="D88" s="4"/>
      <c r="E88" s="4"/>
      <c r="F88" s="4"/>
      <c r="G88" s="4"/>
      <c r="H88" s="4"/>
      <c r="I88" s="4"/>
      <c r="J88" s="4"/>
      <c r="K88" s="4"/>
      <c r="L88" s="4"/>
      <c r="M88" s="4"/>
      <c r="N88" s="4"/>
      <c r="O88" s="4"/>
      <c r="P88" s="4"/>
      <c r="Q88" s="4"/>
      <c r="R88" s="4"/>
      <c r="S88" s="4"/>
      <c r="T88" s="4"/>
      <c r="U88" s="4"/>
      <c r="V88" s="4"/>
      <c r="W88" s="4"/>
      <c r="X88" s="4"/>
      <c r="Y88" s="4"/>
      <c r="Z88" s="4"/>
    </row>
    <row r="89" spans="1:26">
      <c r="A89" s="65"/>
      <c r="B89" s="64"/>
      <c r="C89" s="4"/>
      <c r="D89" s="4"/>
      <c r="E89" s="4"/>
      <c r="F89" s="4"/>
      <c r="G89" s="4"/>
      <c r="H89" s="4"/>
      <c r="I89" s="4"/>
      <c r="J89" s="4"/>
      <c r="K89" s="4"/>
      <c r="L89" s="4"/>
      <c r="M89" s="4"/>
      <c r="N89" s="4"/>
      <c r="O89" s="4"/>
      <c r="P89" s="4"/>
      <c r="Q89" s="4"/>
      <c r="R89" s="4"/>
      <c r="S89" s="4"/>
      <c r="T89" s="4"/>
      <c r="U89" s="4"/>
      <c r="V89" s="4"/>
      <c r="W89" s="4"/>
      <c r="X89" s="4"/>
      <c r="Y89" s="4"/>
      <c r="Z89" s="4"/>
    </row>
    <row r="90" spans="1:26">
      <c r="A90" s="65"/>
      <c r="B90" s="64"/>
      <c r="C90" s="4"/>
      <c r="D90" s="4"/>
      <c r="E90" s="4"/>
      <c r="F90" s="4"/>
      <c r="G90" s="4"/>
      <c r="H90" s="4"/>
      <c r="I90" s="4"/>
      <c r="J90" s="4"/>
      <c r="K90" s="4"/>
      <c r="L90" s="4"/>
      <c r="M90" s="4"/>
      <c r="N90" s="4"/>
      <c r="O90" s="4"/>
      <c r="P90" s="4"/>
      <c r="Q90" s="4"/>
      <c r="R90" s="4"/>
      <c r="S90" s="4"/>
      <c r="T90" s="4"/>
      <c r="U90" s="4"/>
      <c r="V90" s="4"/>
      <c r="W90" s="4"/>
      <c r="X90" s="4"/>
      <c r="Y90" s="4"/>
      <c r="Z90" s="4"/>
    </row>
    <row r="91" spans="1:26">
      <c r="A91" s="65"/>
      <c r="B91" s="64"/>
      <c r="C91" s="4"/>
      <c r="D91" s="4"/>
      <c r="E91" s="4"/>
      <c r="F91" s="4"/>
      <c r="G91" s="4"/>
      <c r="H91" s="4"/>
      <c r="I91" s="4"/>
      <c r="J91" s="4"/>
      <c r="K91" s="4"/>
      <c r="L91" s="4"/>
      <c r="M91" s="4"/>
      <c r="N91" s="4"/>
      <c r="O91" s="4"/>
      <c r="P91" s="4"/>
      <c r="Q91" s="4"/>
      <c r="R91" s="4"/>
      <c r="S91" s="4"/>
      <c r="T91" s="4"/>
      <c r="U91" s="4"/>
      <c r="V91" s="4"/>
      <c r="W91" s="4"/>
      <c r="X91" s="4"/>
      <c r="Y91" s="4"/>
      <c r="Z91" s="4"/>
    </row>
    <row r="92" spans="1:26">
      <c r="A92" s="65"/>
      <c r="B92" s="64"/>
      <c r="C92" s="4"/>
      <c r="D92" s="4"/>
      <c r="E92" s="4"/>
      <c r="F92" s="4"/>
      <c r="G92" s="4"/>
      <c r="H92" s="4"/>
      <c r="I92" s="4"/>
      <c r="J92" s="4"/>
      <c r="K92" s="4"/>
      <c r="L92" s="4"/>
      <c r="M92" s="4"/>
      <c r="N92" s="4"/>
      <c r="O92" s="4"/>
      <c r="P92" s="4"/>
      <c r="Q92" s="4"/>
      <c r="R92" s="4"/>
      <c r="S92" s="4"/>
      <c r="T92" s="4"/>
      <c r="U92" s="4"/>
      <c r="V92" s="4"/>
      <c r="W92" s="4"/>
      <c r="X92" s="4"/>
      <c r="Y92" s="4"/>
      <c r="Z92" s="4"/>
    </row>
    <row r="93" spans="1:26">
      <c r="A93" s="65"/>
      <c r="B93" s="64"/>
      <c r="C93" s="4"/>
      <c r="D93" s="4"/>
      <c r="E93" s="4"/>
      <c r="F93" s="4"/>
      <c r="G93" s="4"/>
      <c r="H93" s="4"/>
      <c r="I93" s="4"/>
      <c r="J93" s="4"/>
      <c r="K93" s="4"/>
      <c r="L93" s="4"/>
      <c r="M93" s="4"/>
      <c r="N93" s="4"/>
      <c r="O93" s="4"/>
      <c r="P93" s="4"/>
      <c r="Q93" s="4"/>
      <c r="R93" s="4"/>
      <c r="S93" s="4"/>
      <c r="T93" s="4"/>
      <c r="U93" s="4"/>
      <c r="V93" s="4"/>
      <c r="W93" s="4"/>
      <c r="X93" s="4"/>
      <c r="Y93" s="4"/>
      <c r="Z93" s="4"/>
    </row>
    <row r="94" spans="1:26">
      <c r="A94" s="65"/>
      <c r="B94" s="64"/>
      <c r="C94" s="4"/>
      <c r="D94" s="4"/>
      <c r="E94" s="4"/>
      <c r="F94" s="4"/>
      <c r="G94" s="4"/>
      <c r="H94" s="4"/>
      <c r="I94" s="4"/>
      <c r="J94" s="4"/>
      <c r="K94" s="4"/>
      <c r="L94" s="4"/>
      <c r="M94" s="4"/>
      <c r="N94" s="4"/>
      <c r="O94" s="4"/>
      <c r="P94" s="4"/>
      <c r="Q94" s="4"/>
      <c r="R94" s="4"/>
      <c r="S94" s="4"/>
      <c r="T94" s="4"/>
      <c r="U94" s="4"/>
      <c r="V94" s="4"/>
      <c r="W94" s="4"/>
      <c r="X94" s="4"/>
      <c r="Y94" s="4"/>
      <c r="Z94" s="4"/>
    </row>
    <row r="95" spans="1:26">
      <c r="A95" s="65"/>
      <c r="B95" s="64"/>
      <c r="C95" s="4"/>
      <c r="D95" s="4"/>
      <c r="E95" s="4"/>
      <c r="F95" s="4"/>
      <c r="G95" s="4"/>
      <c r="H95" s="4"/>
      <c r="I95" s="4"/>
      <c r="J95" s="4"/>
      <c r="K95" s="4"/>
      <c r="L95" s="4"/>
      <c r="M95" s="4"/>
      <c r="N95" s="4"/>
      <c r="O95" s="4"/>
      <c r="P95" s="4"/>
      <c r="Q95" s="4"/>
      <c r="R95" s="4"/>
      <c r="S95" s="4"/>
      <c r="T95" s="4"/>
      <c r="U95" s="4"/>
      <c r="V95" s="4"/>
      <c r="W95" s="4"/>
      <c r="X95" s="4"/>
      <c r="Y95" s="4"/>
      <c r="Z95" s="4"/>
    </row>
    <row r="96" spans="1:26">
      <c r="A96" s="65"/>
      <c r="B96" s="64"/>
      <c r="C96" s="4"/>
      <c r="D96" s="4"/>
      <c r="E96" s="4"/>
      <c r="F96" s="4"/>
      <c r="G96" s="4"/>
      <c r="H96" s="4"/>
      <c r="I96" s="4"/>
      <c r="J96" s="4"/>
      <c r="K96" s="4"/>
      <c r="L96" s="4"/>
      <c r="M96" s="4"/>
      <c r="N96" s="4"/>
      <c r="O96" s="4"/>
      <c r="P96" s="4"/>
      <c r="Q96" s="4"/>
      <c r="R96" s="4"/>
      <c r="S96" s="4"/>
      <c r="T96" s="4"/>
      <c r="U96" s="4"/>
      <c r="V96" s="4"/>
      <c r="W96" s="4"/>
      <c r="X96" s="4"/>
      <c r="Y96" s="4"/>
      <c r="Z96" s="4"/>
    </row>
    <row r="97" spans="1:26">
      <c r="A97" s="65"/>
      <c r="B97" s="64"/>
      <c r="C97" s="4"/>
      <c r="D97" s="4"/>
      <c r="E97" s="4"/>
      <c r="F97" s="4"/>
      <c r="G97" s="4"/>
      <c r="H97" s="4"/>
      <c r="I97" s="4"/>
      <c r="J97" s="4"/>
      <c r="K97" s="4"/>
      <c r="L97" s="4"/>
      <c r="M97" s="4"/>
      <c r="N97" s="4"/>
      <c r="O97" s="4"/>
      <c r="P97" s="4"/>
      <c r="Q97" s="4"/>
      <c r="R97" s="4"/>
      <c r="S97" s="4"/>
      <c r="T97" s="4"/>
      <c r="U97" s="4"/>
      <c r="V97" s="4"/>
      <c r="W97" s="4"/>
      <c r="X97" s="4"/>
      <c r="Y97" s="4"/>
      <c r="Z97" s="4"/>
    </row>
    <row r="98" spans="1:26">
      <c r="A98" s="65"/>
      <c r="B98" s="64"/>
      <c r="C98" s="4"/>
      <c r="D98" s="4"/>
      <c r="E98" s="4"/>
      <c r="F98" s="4"/>
      <c r="G98" s="4"/>
      <c r="H98" s="4"/>
      <c r="I98" s="4"/>
      <c r="J98" s="4"/>
      <c r="K98" s="4"/>
      <c r="L98" s="4"/>
      <c r="M98" s="4"/>
      <c r="N98" s="4"/>
      <c r="O98" s="4"/>
      <c r="P98" s="4"/>
      <c r="Q98" s="4"/>
      <c r="R98" s="4"/>
      <c r="S98" s="4"/>
      <c r="T98" s="4"/>
      <c r="U98" s="4"/>
      <c r="V98" s="4"/>
      <c r="W98" s="4"/>
      <c r="X98" s="4"/>
      <c r="Y98" s="4"/>
      <c r="Z98" s="4"/>
    </row>
    <row r="99" spans="1:26">
      <c r="A99" s="65"/>
      <c r="B99" s="64"/>
      <c r="C99" s="4"/>
      <c r="D99" s="4"/>
      <c r="E99" s="4"/>
      <c r="F99" s="4"/>
      <c r="G99" s="4"/>
      <c r="H99" s="4"/>
      <c r="I99" s="4"/>
      <c r="J99" s="4"/>
      <c r="K99" s="4"/>
      <c r="L99" s="4"/>
      <c r="M99" s="4"/>
      <c r="N99" s="4"/>
      <c r="O99" s="4"/>
      <c r="P99" s="4"/>
      <c r="Q99" s="4"/>
      <c r="R99" s="4"/>
      <c r="S99" s="4"/>
      <c r="T99" s="4"/>
      <c r="U99" s="4"/>
      <c r="V99" s="4"/>
      <c r="W99" s="4"/>
      <c r="X99" s="4"/>
      <c r="Y99" s="4"/>
      <c r="Z99" s="4"/>
    </row>
    <row r="100" spans="1:26">
      <c r="A100" s="65"/>
      <c r="B100" s="6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65"/>
      <c r="B101" s="6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65"/>
      <c r="B102" s="6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65"/>
      <c r="B103" s="6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65"/>
      <c r="B104" s="6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65"/>
      <c r="B105" s="6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65"/>
      <c r="B106" s="6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65"/>
      <c r="B107" s="6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65"/>
      <c r="B108" s="6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65"/>
      <c r="B109" s="6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65"/>
      <c r="B110" s="6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65"/>
      <c r="B111" s="6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65"/>
      <c r="B112" s="6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65"/>
      <c r="B113" s="6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65"/>
      <c r="B114" s="6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65"/>
      <c r="B115" s="6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65"/>
      <c r="B116" s="6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65"/>
      <c r="B117" s="6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65"/>
      <c r="B118" s="6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65"/>
      <c r="B119" s="6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65"/>
      <c r="B120" s="6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65"/>
      <c r="B121" s="6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65"/>
      <c r="B122" s="6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65"/>
      <c r="B123" s="6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65"/>
      <c r="B124" s="6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65"/>
      <c r="B125" s="6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65"/>
      <c r="B126" s="6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65"/>
      <c r="B127" s="6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65"/>
      <c r="B128" s="6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65"/>
      <c r="B129" s="6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65"/>
      <c r="B130" s="6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65"/>
      <c r="B131" s="6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65"/>
      <c r="B132" s="6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65"/>
      <c r="B133" s="6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65"/>
      <c r="B134" s="6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65"/>
      <c r="B135" s="6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65"/>
      <c r="B136" s="6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65"/>
      <c r="B137" s="6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65"/>
      <c r="B138" s="6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65"/>
      <c r="B139" s="6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65"/>
      <c r="B140" s="6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65"/>
      <c r="B141" s="6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65"/>
      <c r="B142" s="6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65"/>
      <c r="B143" s="6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65"/>
      <c r="B144" s="6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65"/>
      <c r="B145" s="6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65"/>
      <c r="B146" s="6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65"/>
      <c r="B147" s="6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65"/>
      <c r="B148" s="6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65"/>
      <c r="B149" s="6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65"/>
      <c r="B150" s="6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65"/>
      <c r="B151" s="6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65"/>
      <c r="B152" s="6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65"/>
      <c r="B153" s="6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65"/>
      <c r="B154" s="6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65"/>
      <c r="B155" s="6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65"/>
      <c r="B156" s="6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65"/>
      <c r="B157" s="6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65"/>
      <c r="B158" s="6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65"/>
      <c r="B159" s="6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65"/>
      <c r="B160" s="6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65"/>
      <c r="B161" s="6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65"/>
      <c r="B162" s="6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65"/>
      <c r="B163" s="6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65"/>
      <c r="B164" s="6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65"/>
      <c r="B165" s="6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65"/>
      <c r="B166" s="6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65"/>
      <c r="B167" s="6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65"/>
      <c r="B168" s="6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65"/>
      <c r="B169" s="6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65"/>
      <c r="B170" s="6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65"/>
      <c r="B171" s="6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65"/>
      <c r="B172" s="6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65"/>
      <c r="B173" s="6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65"/>
      <c r="B174" s="6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65"/>
      <c r="B175" s="6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65"/>
      <c r="B176" s="6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65"/>
      <c r="B177" s="6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65"/>
      <c r="B178" s="6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65"/>
      <c r="B179" s="6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65"/>
      <c r="B180" s="6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65"/>
      <c r="B181" s="6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65"/>
      <c r="B182" s="6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65"/>
      <c r="B183" s="6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65"/>
      <c r="B184" s="6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65"/>
      <c r="B185" s="6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65"/>
      <c r="B186" s="6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65"/>
      <c r="B187" s="6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65"/>
      <c r="B188" s="6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65"/>
      <c r="B189" s="6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65"/>
      <c r="B190" s="6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65"/>
      <c r="B191" s="6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65"/>
      <c r="B192" s="6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65"/>
      <c r="B193" s="6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65"/>
      <c r="B194" s="6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65"/>
      <c r="B195" s="6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65"/>
      <c r="B196" s="6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65"/>
      <c r="B197" s="6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65"/>
      <c r="B198" s="6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65"/>
      <c r="B199" s="6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65"/>
      <c r="B200" s="6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65"/>
      <c r="B201" s="6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65"/>
      <c r="B202" s="6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65"/>
      <c r="B203" s="6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65"/>
      <c r="B204" s="6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65"/>
      <c r="B205" s="6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65"/>
      <c r="B206" s="6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65"/>
      <c r="B207" s="6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65"/>
      <c r="B208" s="6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65"/>
      <c r="B209" s="6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65"/>
      <c r="B210" s="6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65"/>
      <c r="B211" s="6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65"/>
      <c r="B212" s="6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65"/>
      <c r="B213" s="6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65"/>
      <c r="B214" s="6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65"/>
      <c r="B215" s="6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65"/>
      <c r="B216" s="6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65"/>
      <c r="B217" s="6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65"/>
      <c r="B218" s="6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65"/>
      <c r="B219" s="6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65"/>
      <c r="B220" s="6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65"/>
      <c r="B221" s="6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65"/>
      <c r="B222" s="6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65"/>
      <c r="B223" s="6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65"/>
      <c r="B224" s="6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65"/>
      <c r="B225" s="6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65"/>
      <c r="B226" s="6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65"/>
      <c r="B227" s="6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65"/>
      <c r="B228" s="6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65"/>
      <c r="B229" s="6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65"/>
      <c r="B230" s="6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65"/>
      <c r="B231" s="6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65"/>
      <c r="B232" s="6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65"/>
      <c r="B233" s="6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65"/>
      <c r="B234" s="6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65"/>
      <c r="B235" s="6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65"/>
      <c r="B236" s="6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65"/>
      <c r="B237" s="6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65"/>
      <c r="B238" s="6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65"/>
      <c r="B239" s="6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65"/>
      <c r="B240" s="6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65"/>
      <c r="B241" s="6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65"/>
      <c r="B242" s="6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65"/>
      <c r="B243" s="6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65"/>
      <c r="B244" s="6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65"/>
      <c r="B245" s="6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65"/>
      <c r="B246" s="6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65"/>
      <c r="B247" s="6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65"/>
      <c r="B248" s="6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65"/>
      <c r="B249" s="6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65"/>
      <c r="B250" s="6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65"/>
      <c r="B251" s="6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65"/>
      <c r="B252" s="6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65"/>
      <c r="B253" s="6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65"/>
      <c r="B254" s="6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65"/>
      <c r="B255" s="6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65"/>
      <c r="B256" s="6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65"/>
      <c r="B257" s="6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65"/>
      <c r="B258" s="6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65"/>
      <c r="B259" s="6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65"/>
      <c r="B260" s="6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65"/>
      <c r="B261" s="6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65"/>
      <c r="B262" s="6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65"/>
      <c r="B263" s="6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65"/>
      <c r="B264" s="6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65"/>
      <c r="B265" s="6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65"/>
      <c r="B266" s="6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65"/>
      <c r="B267" s="6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65"/>
      <c r="B268" s="6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65"/>
      <c r="B269" s="6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65"/>
      <c r="B270" s="6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65"/>
      <c r="B271" s="6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65"/>
      <c r="B272" s="6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65"/>
      <c r="B273" s="6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65"/>
      <c r="B274" s="6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65"/>
      <c r="B275" s="6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65"/>
      <c r="B276" s="6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65"/>
      <c r="B277" s="6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65"/>
      <c r="B278" s="6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65"/>
      <c r="B279" s="6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65"/>
      <c r="B280" s="6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65"/>
      <c r="B281" s="6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65"/>
      <c r="B282" s="6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65"/>
      <c r="B283" s="6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65"/>
      <c r="B284" s="6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65"/>
      <c r="B285" s="6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65"/>
      <c r="B286" s="6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65"/>
      <c r="B287" s="6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65"/>
      <c r="B288" s="6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65"/>
      <c r="B289" s="6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65"/>
      <c r="B290" s="6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65"/>
      <c r="B291" s="6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65"/>
      <c r="B292" s="6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65"/>
      <c r="B293" s="6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65"/>
      <c r="B294" s="6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65"/>
      <c r="B295" s="6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65"/>
      <c r="B296" s="6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65"/>
      <c r="B297" s="6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65"/>
      <c r="B298" s="6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65"/>
      <c r="B299" s="6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65"/>
      <c r="B300" s="6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65"/>
      <c r="B301" s="6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65"/>
      <c r="B302" s="6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65"/>
      <c r="B303" s="6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65"/>
      <c r="B304" s="6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65"/>
      <c r="B305" s="6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65"/>
      <c r="B306" s="6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65"/>
      <c r="B307" s="6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65"/>
      <c r="B308" s="6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65"/>
      <c r="B309" s="6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65"/>
      <c r="B310" s="6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65"/>
      <c r="B311" s="6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65"/>
      <c r="B312" s="6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65"/>
      <c r="B313" s="6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65"/>
      <c r="B314" s="6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65"/>
      <c r="B315" s="6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65"/>
      <c r="B316" s="6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65"/>
      <c r="B317" s="6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65"/>
      <c r="B318" s="6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65"/>
      <c r="B319" s="6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65"/>
      <c r="B320" s="6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65"/>
      <c r="B321" s="6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65"/>
      <c r="B322" s="6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65"/>
      <c r="B323" s="6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65"/>
      <c r="B324" s="6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65"/>
      <c r="B325" s="6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65"/>
      <c r="B326" s="6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65"/>
      <c r="B327" s="6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65"/>
      <c r="B328" s="6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65"/>
      <c r="B329" s="6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65"/>
      <c r="B330" s="6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65"/>
      <c r="B331" s="6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65"/>
      <c r="B332" s="6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65"/>
      <c r="B333" s="6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65"/>
      <c r="B334" s="6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65"/>
      <c r="B335" s="6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65"/>
      <c r="B336" s="6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65"/>
      <c r="B337" s="6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65"/>
      <c r="B338" s="6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65"/>
      <c r="B339" s="6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65"/>
      <c r="B340" s="6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65"/>
      <c r="B341" s="6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65"/>
      <c r="B342" s="6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65"/>
      <c r="B343" s="6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65"/>
      <c r="B344" s="6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65"/>
      <c r="B345" s="6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65"/>
      <c r="B346" s="6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65"/>
      <c r="B347" s="6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65"/>
      <c r="B348" s="6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65"/>
      <c r="B349" s="6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65"/>
      <c r="B350" s="6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65"/>
      <c r="B351" s="6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65"/>
      <c r="B352" s="6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65"/>
      <c r="B353" s="6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65"/>
      <c r="B354" s="6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65"/>
      <c r="B355" s="6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65"/>
      <c r="B356" s="6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65"/>
      <c r="B357" s="6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65"/>
      <c r="B358" s="6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65"/>
      <c r="B359" s="6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65"/>
      <c r="B360" s="6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65"/>
      <c r="B361" s="6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65"/>
      <c r="B362" s="6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65"/>
      <c r="B363" s="6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65"/>
      <c r="B364" s="6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65"/>
      <c r="B365" s="6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65"/>
      <c r="B366" s="6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65"/>
      <c r="B367" s="6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65"/>
      <c r="B368" s="6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65"/>
      <c r="B369" s="6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65"/>
      <c r="B370" s="6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65"/>
      <c r="B371" s="6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65"/>
      <c r="B372" s="6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65"/>
      <c r="B373" s="6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65"/>
      <c r="B374" s="6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65"/>
      <c r="B375" s="6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65"/>
      <c r="B376" s="6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65"/>
      <c r="B377" s="6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65"/>
      <c r="B378" s="6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65"/>
      <c r="B379" s="6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65"/>
      <c r="B380" s="6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65"/>
      <c r="B381" s="6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65"/>
      <c r="B382" s="6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65"/>
      <c r="B383" s="6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65"/>
      <c r="B384" s="6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65"/>
      <c r="B385" s="6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65"/>
      <c r="B386" s="6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65"/>
      <c r="B387" s="6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65"/>
      <c r="B388" s="6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65"/>
      <c r="B389" s="6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65"/>
      <c r="B390" s="6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65"/>
      <c r="B391" s="6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65"/>
      <c r="B392" s="6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65"/>
      <c r="B393" s="6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65"/>
      <c r="B394" s="6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65"/>
      <c r="B395" s="6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65"/>
      <c r="B396" s="6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65"/>
      <c r="B397" s="6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65"/>
      <c r="B398" s="6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65"/>
      <c r="B399" s="6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65"/>
      <c r="B400" s="6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65"/>
      <c r="B401" s="6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65"/>
      <c r="B402" s="6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65"/>
      <c r="B403" s="6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65"/>
      <c r="B404" s="6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65"/>
      <c r="B405" s="6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65"/>
      <c r="B406" s="6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65"/>
      <c r="B407" s="6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65"/>
      <c r="B408" s="6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65"/>
      <c r="B409" s="6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65"/>
      <c r="B410" s="6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65"/>
      <c r="B411" s="6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65"/>
      <c r="B412" s="6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65"/>
      <c r="B413" s="6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65"/>
      <c r="B414" s="6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65"/>
      <c r="B415" s="6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65"/>
      <c r="B416" s="6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65"/>
      <c r="B417" s="6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65"/>
      <c r="B418" s="6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65"/>
      <c r="B419" s="6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65"/>
      <c r="B420" s="6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65"/>
      <c r="B421" s="6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65"/>
      <c r="B422" s="6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65"/>
      <c r="B423" s="6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65"/>
      <c r="B424" s="6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65"/>
      <c r="B425" s="6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65"/>
      <c r="B426" s="6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65"/>
      <c r="B427" s="6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65"/>
      <c r="B428" s="6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65"/>
      <c r="B429" s="6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65"/>
      <c r="B430" s="6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65"/>
      <c r="B431" s="6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65"/>
      <c r="B432" s="6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65"/>
      <c r="B433" s="6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65"/>
      <c r="B434" s="6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65"/>
      <c r="B435" s="6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65"/>
      <c r="B436" s="6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65"/>
      <c r="B437" s="6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65"/>
      <c r="B438" s="6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65"/>
      <c r="B439" s="6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65"/>
      <c r="B440" s="6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65"/>
      <c r="B441" s="6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65"/>
      <c r="B442" s="6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65"/>
      <c r="B443" s="6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65"/>
      <c r="B444" s="6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65"/>
      <c r="B445" s="6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65"/>
      <c r="B446" s="6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65"/>
      <c r="B447" s="6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65"/>
      <c r="B448" s="6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65"/>
      <c r="B449" s="6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65"/>
      <c r="B450" s="6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65"/>
      <c r="B451" s="6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65"/>
      <c r="B452" s="6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65"/>
      <c r="B453" s="6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65"/>
      <c r="B454" s="6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65"/>
      <c r="B455" s="6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65"/>
      <c r="B456" s="6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65"/>
      <c r="B457" s="6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65"/>
      <c r="B458" s="6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65"/>
      <c r="B459" s="6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65"/>
      <c r="B460" s="6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65"/>
      <c r="B461" s="6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65"/>
      <c r="B462" s="6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65"/>
      <c r="B463" s="6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65"/>
      <c r="B464" s="6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65"/>
      <c r="B465" s="6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65"/>
      <c r="B466" s="6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65"/>
      <c r="B467" s="6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65"/>
      <c r="B468" s="6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65"/>
      <c r="B469" s="6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65"/>
      <c r="B470" s="6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65"/>
      <c r="B471" s="6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65"/>
      <c r="B472" s="6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65"/>
      <c r="B473" s="6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65"/>
      <c r="B474" s="6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65"/>
      <c r="B475" s="6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65"/>
      <c r="B476" s="6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65"/>
      <c r="B477" s="6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65"/>
      <c r="B478" s="6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65"/>
      <c r="B479" s="6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65"/>
      <c r="B480" s="6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65"/>
      <c r="B481" s="6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65"/>
      <c r="B482" s="6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65"/>
      <c r="B483" s="6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65"/>
      <c r="B484" s="6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65"/>
      <c r="B485" s="6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65"/>
      <c r="B486" s="6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65"/>
      <c r="B487" s="6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65"/>
      <c r="B488" s="6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65"/>
      <c r="B489" s="6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65"/>
      <c r="B490" s="6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65"/>
      <c r="B491" s="6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65"/>
      <c r="B492" s="6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65"/>
      <c r="B493" s="6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65"/>
      <c r="B494" s="6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65"/>
      <c r="B495" s="6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65"/>
      <c r="B496" s="6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65"/>
      <c r="B497" s="6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65"/>
      <c r="B498" s="6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65"/>
      <c r="B499" s="6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65"/>
      <c r="B500" s="6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65"/>
      <c r="B501" s="6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65"/>
      <c r="B502" s="6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65"/>
      <c r="B503" s="6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65"/>
      <c r="B504" s="6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65"/>
      <c r="B505" s="6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65"/>
      <c r="B506" s="6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65"/>
      <c r="B507" s="6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65"/>
      <c r="B508" s="6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65"/>
      <c r="B509" s="6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65"/>
      <c r="B510" s="6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65"/>
      <c r="B511" s="6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65"/>
      <c r="B512" s="6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65"/>
      <c r="B513" s="6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65"/>
      <c r="B514" s="6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65"/>
      <c r="B515" s="6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65"/>
      <c r="B516" s="6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65"/>
      <c r="B517" s="6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65"/>
      <c r="B518" s="6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65"/>
      <c r="B519" s="6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65"/>
      <c r="B520" s="6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65"/>
      <c r="B521" s="6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65"/>
      <c r="B522" s="6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65"/>
      <c r="B523" s="6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65"/>
      <c r="B524" s="6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65"/>
      <c r="B525" s="6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65"/>
      <c r="B526" s="6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65"/>
      <c r="B527" s="6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65"/>
      <c r="B528" s="6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65"/>
      <c r="B529" s="6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65"/>
      <c r="B530" s="6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65"/>
      <c r="B531" s="6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65"/>
      <c r="B532" s="6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65"/>
      <c r="B533" s="6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65"/>
      <c r="B534" s="6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65"/>
      <c r="B535" s="6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65"/>
      <c r="B536" s="6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65"/>
      <c r="B537" s="6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65"/>
      <c r="B538" s="6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65"/>
      <c r="B539" s="6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65"/>
      <c r="B540" s="6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65"/>
      <c r="B541" s="6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65"/>
      <c r="B542" s="6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65"/>
      <c r="B543" s="6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65"/>
      <c r="B544" s="6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65"/>
      <c r="B545" s="6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65"/>
      <c r="B546" s="6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65"/>
      <c r="B547" s="6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65"/>
      <c r="B548" s="6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65"/>
      <c r="B549" s="6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65"/>
      <c r="B550" s="6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65"/>
      <c r="B551" s="6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65"/>
      <c r="B552" s="6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65"/>
      <c r="B553" s="6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65"/>
      <c r="B554" s="6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65"/>
      <c r="B555" s="6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65"/>
      <c r="B556" s="6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65"/>
      <c r="B557" s="6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65"/>
      <c r="B558" s="6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65"/>
      <c r="B559" s="6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65"/>
      <c r="B560" s="6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65"/>
      <c r="B561" s="6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65"/>
      <c r="B562" s="6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65"/>
      <c r="B563" s="6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65"/>
      <c r="B564" s="6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65"/>
      <c r="B565" s="6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65"/>
      <c r="B566" s="6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65"/>
      <c r="B567" s="6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65"/>
      <c r="B568" s="6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65"/>
      <c r="B569" s="6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65"/>
      <c r="B570" s="6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65"/>
      <c r="B571" s="6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65"/>
      <c r="B572" s="6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65"/>
      <c r="B573" s="6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65"/>
      <c r="B574" s="6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65"/>
      <c r="B575" s="6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65"/>
      <c r="B576" s="6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65"/>
      <c r="B577" s="6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65"/>
      <c r="B578" s="6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65"/>
      <c r="B579" s="6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65"/>
      <c r="B580" s="6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65"/>
      <c r="B581" s="6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65"/>
      <c r="B582" s="6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65"/>
      <c r="B583" s="6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65"/>
      <c r="B584" s="6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65"/>
      <c r="B585" s="6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65"/>
      <c r="B586" s="6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65"/>
      <c r="B587" s="6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65"/>
      <c r="B588" s="6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65"/>
      <c r="B589" s="6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65"/>
      <c r="B590" s="6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65"/>
      <c r="B591" s="6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65"/>
      <c r="B592" s="6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65"/>
      <c r="B593" s="6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65"/>
      <c r="B594" s="6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65"/>
      <c r="B595" s="6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65"/>
      <c r="B596" s="6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65"/>
      <c r="B597" s="6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65"/>
      <c r="B598" s="6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65"/>
      <c r="B599" s="6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65"/>
      <c r="B600" s="6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65"/>
      <c r="B601" s="6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65"/>
      <c r="B602" s="6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65"/>
      <c r="B603" s="6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65"/>
      <c r="B604" s="6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65"/>
      <c r="B605" s="6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65"/>
      <c r="B606" s="6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65"/>
      <c r="B607" s="6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65"/>
      <c r="B608" s="6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65"/>
      <c r="B609" s="6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65"/>
      <c r="B610" s="6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65"/>
      <c r="B611" s="6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65"/>
      <c r="B612" s="6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65"/>
      <c r="B613" s="6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65"/>
      <c r="B614" s="6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65"/>
      <c r="B615" s="6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65"/>
      <c r="B616" s="6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65"/>
      <c r="B617" s="6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65"/>
      <c r="B618" s="6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65"/>
      <c r="B619" s="6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65"/>
      <c r="B620" s="6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65"/>
      <c r="B621" s="6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65"/>
      <c r="B622" s="6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65"/>
      <c r="B623" s="6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65"/>
      <c r="B624" s="6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65"/>
      <c r="B625" s="6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65"/>
      <c r="B626" s="6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65"/>
      <c r="B627" s="6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65"/>
      <c r="B628" s="6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65"/>
      <c r="B629" s="6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65"/>
      <c r="B630" s="6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65"/>
      <c r="B631" s="6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65"/>
      <c r="B632" s="6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65"/>
      <c r="B633" s="6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65"/>
      <c r="B634" s="6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65"/>
      <c r="B635" s="6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65"/>
      <c r="B636" s="6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65"/>
      <c r="B637" s="6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65"/>
      <c r="B638" s="6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65"/>
      <c r="B639" s="6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65"/>
      <c r="B640" s="6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65"/>
      <c r="B641" s="6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65"/>
      <c r="B642" s="6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65"/>
      <c r="B643" s="6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65"/>
      <c r="B644" s="6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65"/>
      <c r="B645" s="6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65"/>
      <c r="B646" s="6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65"/>
      <c r="B647" s="6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65"/>
      <c r="B648" s="6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65"/>
      <c r="B649" s="6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65"/>
      <c r="B650" s="6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65"/>
      <c r="B651" s="6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65"/>
      <c r="B652" s="6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65"/>
      <c r="B653" s="6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65"/>
      <c r="B654" s="6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65"/>
      <c r="B655" s="6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65"/>
      <c r="B656" s="6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65"/>
      <c r="B657" s="6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65"/>
      <c r="B658" s="6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65"/>
      <c r="B659" s="6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65"/>
      <c r="B660" s="6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65"/>
      <c r="B661" s="6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65"/>
      <c r="B662" s="6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65"/>
      <c r="B663" s="6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65"/>
      <c r="B664" s="6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65"/>
      <c r="B665" s="6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65"/>
      <c r="B666" s="6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65"/>
      <c r="B667" s="6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65"/>
      <c r="B668" s="6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65"/>
      <c r="B669" s="6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65"/>
      <c r="B670" s="6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65"/>
      <c r="B671" s="6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65"/>
      <c r="B672" s="6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65"/>
      <c r="B673" s="6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65"/>
      <c r="B674" s="6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65"/>
      <c r="B675" s="6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65"/>
      <c r="B676" s="6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65"/>
      <c r="B677" s="6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65"/>
      <c r="B678" s="6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65"/>
      <c r="B679" s="6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65"/>
      <c r="B680" s="6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65"/>
      <c r="B681" s="6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65"/>
      <c r="B682" s="6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65"/>
      <c r="B683" s="6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65"/>
      <c r="B684" s="6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65"/>
      <c r="B685" s="6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65"/>
      <c r="B686" s="6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65"/>
      <c r="B687" s="6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65"/>
      <c r="B688" s="6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65"/>
      <c r="B689" s="6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65"/>
      <c r="B690" s="6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65"/>
      <c r="B691" s="6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65"/>
      <c r="B692" s="6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65"/>
      <c r="B693" s="6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65"/>
      <c r="B694" s="6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65"/>
      <c r="B695" s="6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65"/>
      <c r="B696" s="6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65"/>
      <c r="B697" s="6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65"/>
      <c r="B698" s="6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65"/>
      <c r="B699" s="6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65"/>
      <c r="B700" s="6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65"/>
      <c r="B701" s="6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65"/>
      <c r="B702" s="6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65"/>
      <c r="B703" s="6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65"/>
      <c r="B704" s="6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65"/>
      <c r="B705" s="6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65"/>
      <c r="B706" s="6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65"/>
      <c r="B707" s="6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65"/>
      <c r="B708" s="6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65"/>
      <c r="B709" s="6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65"/>
      <c r="B710" s="6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65"/>
      <c r="B711" s="6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65"/>
      <c r="B712" s="6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65"/>
      <c r="B713" s="6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65"/>
      <c r="B714" s="6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65"/>
      <c r="B715" s="6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65"/>
      <c r="B716" s="6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65"/>
      <c r="B717" s="6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65"/>
      <c r="B718" s="6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65"/>
      <c r="B719" s="6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65"/>
      <c r="B720" s="6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65"/>
      <c r="B721" s="6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65"/>
      <c r="B722" s="6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65"/>
      <c r="B723" s="6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65"/>
      <c r="B724" s="6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65"/>
      <c r="B725" s="6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65"/>
      <c r="B726" s="6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65"/>
      <c r="B727" s="6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65"/>
      <c r="B728" s="6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65"/>
      <c r="B729" s="6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65"/>
      <c r="B730" s="6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65"/>
      <c r="B731" s="6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65"/>
      <c r="B732" s="6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65"/>
      <c r="B733" s="6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65"/>
      <c r="B734" s="6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65"/>
      <c r="B735" s="6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65"/>
      <c r="B736" s="6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65"/>
      <c r="B737" s="6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65"/>
      <c r="B738" s="6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65"/>
      <c r="B739" s="6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65"/>
      <c r="B740" s="6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65"/>
      <c r="B741" s="6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65"/>
      <c r="B742" s="6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65"/>
      <c r="B743" s="6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65"/>
      <c r="B744" s="6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65"/>
      <c r="B745" s="6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65"/>
      <c r="B746" s="6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65"/>
      <c r="B747" s="6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65"/>
      <c r="B748" s="6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65"/>
      <c r="B749" s="6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65"/>
      <c r="B750" s="6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65"/>
      <c r="B751" s="6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65"/>
      <c r="B752" s="6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65"/>
      <c r="B753" s="6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65"/>
      <c r="B754" s="6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65"/>
      <c r="B755" s="6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65"/>
      <c r="B756" s="6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65"/>
      <c r="B757" s="6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65"/>
      <c r="B758" s="6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65"/>
      <c r="B759" s="6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65"/>
      <c r="B760" s="6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65"/>
      <c r="B761" s="6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65"/>
      <c r="B762" s="6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65"/>
      <c r="B763" s="6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65"/>
      <c r="B764" s="6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65"/>
      <c r="B765" s="6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65"/>
      <c r="B766" s="6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65"/>
      <c r="B767" s="6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65"/>
      <c r="B768" s="6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65"/>
      <c r="B769" s="6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65"/>
      <c r="B770" s="6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65"/>
      <c r="B771" s="6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65"/>
      <c r="B772" s="6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65"/>
      <c r="B773" s="6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65"/>
      <c r="B774" s="6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65"/>
      <c r="B775" s="6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65"/>
      <c r="B776" s="6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65"/>
      <c r="B777" s="6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65"/>
      <c r="B778" s="6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65"/>
      <c r="B779" s="6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65"/>
      <c r="B780" s="6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65"/>
      <c r="B781" s="6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65"/>
      <c r="B782" s="6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65"/>
      <c r="B783" s="6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65"/>
      <c r="B784" s="6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65"/>
      <c r="B785" s="6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65"/>
      <c r="B786" s="6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65"/>
      <c r="B787" s="6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65"/>
      <c r="B788" s="6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65"/>
      <c r="B789" s="6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65"/>
      <c r="B790" s="6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65"/>
      <c r="B791" s="6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65"/>
      <c r="B792" s="6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65"/>
      <c r="B793" s="6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65"/>
      <c r="B794" s="6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65"/>
      <c r="B795" s="6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65"/>
      <c r="B796" s="6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65"/>
      <c r="B797" s="6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65"/>
      <c r="B798" s="6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65"/>
      <c r="B799" s="6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65"/>
      <c r="B800" s="6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65"/>
      <c r="B801" s="6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65"/>
      <c r="B802" s="6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65"/>
      <c r="B803" s="6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65"/>
      <c r="B804" s="6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65"/>
      <c r="B805" s="6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65"/>
      <c r="B806" s="6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65"/>
      <c r="B807" s="6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65"/>
      <c r="B808" s="6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65"/>
      <c r="B809" s="6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65"/>
      <c r="B810" s="6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65"/>
      <c r="B811" s="6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65"/>
      <c r="B812" s="6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65"/>
      <c r="B813" s="6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65"/>
      <c r="B814" s="6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65"/>
      <c r="B815" s="6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65"/>
      <c r="B816" s="6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65"/>
      <c r="B817" s="6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65"/>
      <c r="B818" s="6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65"/>
      <c r="B819" s="6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65"/>
      <c r="B820" s="6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65"/>
      <c r="B821" s="6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65"/>
      <c r="B822" s="6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65"/>
      <c r="B823" s="6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65"/>
      <c r="B824" s="6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65"/>
      <c r="B825" s="6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65"/>
      <c r="B826" s="6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65"/>
      <c r="B827" s="6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65"/>
      <c r="B828" s="6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65"/>
      <c r="B829" s="6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65"/>
      <c r="B830" s="6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65"/>
      <c r="B831" s="6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65"/>
      <c r="B832" s="6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65"/>
      <c r="B833" s="6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65"/>
      <c r="B834" s="6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65"/>
      <c r="B835" s="6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65"/>
      <c r="B836" s="6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65"/>
      <c r="B837" s="6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65"/>
      <c r="B838" s="6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65"/>
      <c r="B839" s="6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65"/>
      <c r="B840" s="6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65"/>
      <c r="B841" s="6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65"/>
      <c r="B842" s="6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65"/>
      <c r="B843" s="6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65"/>
      <c r="B844" s="6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65"/>
      <c r="B845" s="6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65"/>
      <c r="B846" s="6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65"/>
      <c r="B847" s="6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65"/>
      <c r="B848" s="6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65"/>
      <c r="B849" s="6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65"/>
      <c r="B850" s="6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65"/>
      <c r="B851" s="6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65"/>
      <c r="B852" s="6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65"/>
      <c r="B853" s="6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65"/>
      <c r="B854" s="6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65"/>
      <c r="B855" s="6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65"/>
      <c r="B856" s="6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65"/>
      <c r="B857" s="6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65"/>
      <c r="B858" s="6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65"/>
      <c r="B859" s="6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65"/>
      <c r="B860" s="6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65"/>
      <c r="B861" s="6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65"/>
      <c r="B862" s="6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65"/>
      <c r="B863" s="6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65"/>
      <c r="B864" s="6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65"/>
      <c r="B865" s="6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65"/>
      <c r="B866" s="6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65"/>
      <c r="B867" s="6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65"/>
      <c r="B868" s="6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65"/>
      <c r="B869" s="6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65"/>
      <c r="B870" s="6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65"/>
      <c r="B871" s="6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65"/>
      <c r="B872" s="6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65"/>
      <c r="B873" s="6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65"/>
      <c r="B874" s="6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65"/>
      <c r="B875" s="6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65"/>
      <c r="B876" s="6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65"/>
      <c r="B877" s="6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65"/>
      <c r="B878" s="6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65"/>
      <c r="B879" s="6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65"/>
      <c r="B880" s="6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65"/>
      <c r="B881" s="6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65"/>
      <c r="B882" s="6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65"/>
      <c r="B883" s="6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65"/>
      <c r="B884" s="6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65"/>
      <c r="B885" s="6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65"/>
      <c r="B886" s="6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65"/>
      <c r="B887" s="6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65"/>
      <c r="B888" s="6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65"/>
      <c r="B889" s="6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65"/>
      <c r="B890" s="6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65"/>
      <c r="B891" s="6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65"/>
      <c r="B892" s="6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65"/>
      <c r="B893" s="6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65"/>
      <c r="B894" s="6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65"/>
      <c r="B895" s="6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65"/>
      <c r="B896" s="6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65"/>
      <c r="B897" s="6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65"/>
      <c r="B898" s="6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65"/>
      <c r="B899" s="6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65"/>
      <c r="B900" s="6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65"/>
      <c r="B901" s="6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65"/>
      <c r="B902" s="6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65"/>
      <c r="B903" s="6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65"/>
      <c r="B904" s="6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65"/>
      <c r="B905" s="6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65"/>
      <c r="B906" s="6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65"/>
      <c r="B907" s="6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65"/>
      <c r="B908" s="6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65"/>
      <c r="B909" s="6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65"/>
      <c r="B910" s="6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65"/>
      <c r="B911" s="6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65"/>
      <c r="B912" s="6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65"/>
      <c r="B913" s="6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65"/>
      <c r="B914" s="6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65"/>
      <c r="B915" s="6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65"/>
      <c r="B916" s="6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65"/>
      <c r="B917" s="6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65"/>
      <c r="B918" s="6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65"/>
      <c r="B919" s="6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65"/>
      <c r="B920" s="6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65"/>
      <c r="B921" s="6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65"/>
      <c r="B922" s="6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65"/>
      <c r="B923" s="6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65"/>
      <c r="B924" s="6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65"/>
      <c r="B925" s="6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65"/>
      <c r="B926" s="6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65"/>
      <c r="B927" s="6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65"/>
      <c r="B928" s="6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65"/>
      <c r="B929" s="6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65"/>
      <c r="B930" s="6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65"/>
      <c r="B931" s="6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65"/>
      <c r="B932" s="6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65"/>
      <c r="B933" s="6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65"/>
      <c r="B934" s="6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65"/>
      <c r="B935" s="6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65"/>
      <c r="B936" s="6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65"/>
      <c r="B937" s="6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65"/>
      <c r="B938" s="6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65"/>
      <c r="B939" s="6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65"/>
      <c r="B940" s="6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65"/>
      <c r="B941" s="6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65"/>
      <c r="B942" s="6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65"/>
      <c r="B943" s="6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65"/>
      <c r="B944" s="6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65"/>
      <c r="B945" s="6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65"/>
      <c r="B946" s="6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65"/>
      <c r="B947" s="6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65"/>
      <c r="B948" s="6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65"/>
      <c r="B949" s="6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65"/>
      <c r="B950" s="6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65"/>
      <c r="B951" s="6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65"/>
      <c r="B952" s="6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65"/>
      <c r="B953" s="6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65"/>
      <c r="B954" s="6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65"/>
      <c r="B955" s="6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65"/>
      <c r="B956" s="6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65"/>
      <c r="B957" s="6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65"/>
      <c r="B958" s="6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65"/>
      <c r="B959" s="6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65"/>
      <c r="B960" s="6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65"/>
      <c r="B961" s="6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65"/>
      <c r="B962" s="6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65"/>
      <c r="B963" s="6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65"/>
      <c r="B964" s="6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65"/>
      <c r="B965" s="6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65"/>
      <c r="B966" s="6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65"/>
      <c r="B967" s="6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65"/>
      <c r="B968" s="6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65"/>
      <c r="B969" s="6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65"/>
      <c r="B970" s="6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65"/>
      <c r="B971" s="6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65"/>
      <c r="B972" s="6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65"/>
      <c r="B973" s="6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65"/>
      <c r="B974" s="6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65"/>
      <c r="B975" s="6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65"/>
      <c r="B976" s="6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65"/>
      <c r="B977" s="6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65"/>
      <c r="B978" s="6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65"/>
      <c r="B979" s="6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65"/>
      <c r="B980" s="6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65"/>
      <c r="B981" s="6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65"/>
      <c r="B982" s="6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65"/>
      <c r="B983" s="6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65"/>
      <c r="B984" s="6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65"/>
      <c r="B985" s="6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65"/>
      <c r="B986" s="6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65"/>
      <c r="B987" s="6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65"/>
      <c r="B988" s="6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65"/>
      <c r="B989" s="6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65"/>
      <c r="B990" s="6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65"/>
      <c r="B991" s="6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65"/>
      <c r="B992" s="6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65"/>
      <c r="B993" s="6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65"/>
      <c r="B994" s="6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65"/>
      <c r="B995" s="6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65"/>
      <c r="B996" s="6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65"/>
      <c r="B997" s="6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65"/>
      <c r="B998" s="6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65"/>
      <c r="B999" s="6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65"/>
      <c r="B1000" s="6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xSplit="1" ySplit="4" topLeftCell="B47" activePane="bottomRight" state="frozen"/>
      <selection pane="topRight" activeCell="B1" sqref="B1"/>
      <selection pane="bottomLeft" activeCell="A5" sqref="A5"/>
      <selection pane="bottomRight" activeCell="E140" sqref="E140"/>
    </sheetView>
  </sheetViews>
  <sheetFormatPr defaultColWidth="14.42578125" defaultRowHeight="15" customHeight="1"/>
  <cols>
    <col min="1" max="1" width="54.28515625" customWidth="1"/>
    <col min="2" max="7" width="16.28515625" customWidth="1"/>
    <col min="8" max="8" width="34.140625" customWidth="1"/>
    <col min="9" max="9" width="70.140625" customWidth="1"/>
    <col min="10" max="10" width="70.85546875" customWidth="1"/>
    <col min="11" max="19" width="9.140625" customWidth="1"/>
    <col min="20" max="26" width="8.7109375" customWidth="1"/>
  </cols>
  <sheetData>
    <row r="1" spans="1:26" ht="18.75">
      <c r="A1" s="317" t="str">
        <f>TEXT(Staffing!A1,1)</f>
        <v>Leman Academy of Excellence</v>
      </c>
      <c r="B1" s="311"/>
      <c r="C1" s="311"/>
      <c r="D1" s="311"/>
      <c r="E1" s="311"/>
      <c r="F1" s="311"/>
      <c r="G1" s="311"/>
      <c r="H1" s="311"/>
      <c r="I1" s="312"/>
      <c r="J1" s="67"/>
      <c r="K1" s="4"/>
      <c r="L1" s="4"/>
      <c r="M1" s="4"/>
      <c r="N1" s="4"/>
      <c r="O1" s="4"/>
      <c r="P1" s="4"/>
      <c r="Q1" s="4"/>
      <c r="R1" s="4"/>
      <c r="S1" s="4"/>
      <c r="T1" s="4"/>
      <c r="U1" s="4"/>
      <c r="V1" s="4"/>
      <c r="W1" s="4"/>
      <c r="X1" s="4"/>
      <c r="Y1" s="4"/>
      <c r="Z1" s="4"/>
    </row>
    <row r="2" spans="1:26" ht="18.75">
      <c r="A2" s="319" t="s">
        <v>267</v>
      </c>
      <c r="B2" s="320"/>
      <c r="C2" s="320"/>
      <c r="D2" s="320"/>
      <c r="E2" s="320"/>
      <c r="F2" s="320"/>
      <c r="G2" s="320"/>
      <c r="H2" s="320"/>
      <c r="I2" s="320"/>
      <c r="J2" s="113" t="s">
        <v>10</v>
      </c>
      <c r="K2" s="4"/>
      <c r="L2" s="4"/>
      <c r="M2" s="4"/>
      <c r="N2" s="4"/>
      <c r="O2" s="4"/>
      <c r="P2" s="4"/>
      <c r="Q2" s="4"/>
      <c r="R2" s="4"/>
      <c r="S2" s="4"/>
      <c r="T2" s="4"/>
      <c r="U2" s="4"/>
      <c r="V2" s="4"/>
      <c r="W2" s="4"/>
      <c r="X2" s="4"/>
      <c r="Y2" s="4"/>
      <c r="Z2" s="4"/>
    </row>
    <row r="3" spans="1:26" ht="45">
      <c r="H3" s="4"/>
      <c r="J3" s="67" t="s">
        <v>140</v>
      </c>
      <c r="K3" s="4"/>
      <c r="L3" s="4"/>
      <c r="M3" s="4"/>
      <c r="N3" s="4"/>
      <c r="O3" s="4"/>
      <c r="P3" s="4"/>
      <c r="Q3" s="4"/>
      <c r="R3" s="4"/>
      <c r="S3" s="4"/>
      <c r="T3" s="4"/>
      <c r="U3" s="4"/>
      <c r="V3" s="4"/>
      <c r="W3" s="4"/>
      <c r="X3" s="4"/>
      <c r="Y3" s="4"/>
      <c r="Z3" s="4"/>
    </row>
    <row r="4" spans="1:26" ht="18.75">
      <c r="A4" s="114" t="s">
        <v>267</v>
      </c>
      <c r="B4" s="115" t="s">
        <v>2</v>
      </c>
      <c r="C4" s="115" t="s">
        <v>3</v>
      </c>
      <c r="D4" s="115" t="s">
        <v>4</v>
      </c>
      <c r="E4" s="115" t="s">
        <v>5</v>
      </c>
      <c r="F4" s="115" t="s">
        <v>6</v>
      </c>
      <c r="G4" s="115" t="s">
        <v>7</v>
      </c>
      <c r="H4" s="116" t="s">
        <v>268</v>
      </c>
      <c r="I4" s="117" t="s">
        <v>269</v>
      </c>
      <c r="J4" s="118" t="s">
        <v>270</v>
      </c>
      <c r="K4" s="119"/>
      <c r="L4" s="119"/>
      <c r="M4" s="119"/>
      <c r="N4" s="119"/>
      <c r="O4" s="119"/>
      <c r="P4" s="119"/>
      <c r="Q4" s="119"/>
      <c r="R4" s="119"/>
      <c r="S4" s="119"/>
      <c r="T4" s="119"/>
      <c r="U4" s="119"/>
      <c r="V4" s="119"/>
      <c r="W4" s="119"/>
      <c r="X4" s="119"/>
      <c r="Y4" s="119"/>
      <c r="Z4" s="119"/>
    </row>
    <row r="5" spans="1:26">
      <c r="A5" s="318" t="s">
        <v>271</v>
      </c>
      <c r="B5" s="316"/>
      <c r="C5" s="316"/>
      <c r="D5" s="316"/>
      <c r="E5" s="316"/>
      <c r="F5" s="316"/>
      <c r="G5" s="316"/>
      <c r="H5" s="316"/>
      <c r="I5" s="297"/>
      <c r="J5" s="67"/>
      <c r="K5" s="4"/>
      <c r="L5" s="4"/>
      <c r="M5" s="4"/>
      <c r="N5" s="4"/>
      <c r="O5" s="4"/>
      <c r="P5" s="4"/>
      <c r="Q5" s="4"/>
      <c r="R5" s="4"/>
      <c r="S5" s="4"/>
      <c r="T5" s="4"/>
      <c r="U5" s="4"/>
      <c r="V5" s="4"/>
      <c r="W5" s="4"/>
      <c r="X5" s="4"/>
      <c r="Y5" s="4"/>
      <c r="Z5" s="4"/>
    </row>
    <row r="6" spans="1:26">
      <c r="A6" s="120" t="s">
        <v>272</v>
      </c>
      <c r="B6" s="121"/>
      <c r="C6" s="122">
        <v>0</v>
      </c>
      <c r="D6" s="123">
        <v>0</v>
      </c>
      <c r="E6" s="123">
        <v>0</v>
      </c>
      <c r="F6" s="123">
        <v>0</v>
      </c>
      <c r="G6" s="124">
        <v>0</v>
      </c>
      <c r="H6" s="121"/>
      <c r="I6" s="125"/>
      <c r="J6" s="67"/>
      <c r="K6" s="4"/>
      <c r="L6" s="4"/>
      <c r="M6" s="4"/>
      <c r="N6" s="4"/>
      <c r="O6" s="4"/>
      <c r="P6" s="4"/>
      <c r="Q6" s="4"/>
      <c r="R6" s="4" t="s">
        <v>273</v>
      </c>
      <c r="S6" s="4"/>
      <c r="T6" s="4"/>
      <c r="U6" s="4"/>
      <c r="V6" s="4"/>
      <c r="W6" s="4"/>
      <c r="X6" s="4"/>
      <c r="Y6" s="4"/>
      <c r="Z6" s="4"/>
    </row>
    <row r="7" spans="1:26">
      <c r="A7" s="120" t="s">
        <v>36</v>
      </c>
      <c r="B7" s="126"/>
      <c r="C7" s="127">
        <f>Staffing!J36</f>
        <v>130</v>
      </c>
      <c r="D7" s="128">
        <f>Staffing!O36</f>
        <v>125</v>
      </c>
      <c r="E7" s="128">
        <f>Staffing!T36</f>
        <v>125</v>
      </c>
      <c r="F7" s="128">
        <f>Staffing!Y36</f>
        <v>125</v>
      </c>
      <c r="G7" s="129">
        <f>Staffing!AD36</f>
        <v>125</v>
      </c>
      <c r="H7" s="126"/>
      <c r="I7" s="125"/>
      <c r="J7" s="67" t="s">
        <v>274</v>
      </c>
      <c r="K7" s="4"/>
      <c r="L7" s="4"/>
      <c r="M7" s="4"/>
      <c r="N7" s="4"/>
      <c r="O7" s="4"/>
      <c r="P7" s="4"/>
      <c r="Q7" s="4"/>
      <c r="R7" s="4" t="s">
        <v>275</v>
      </c>
      <c r="S7" s="4" t="s">
        <v>276</v>
      </c>
      <c r="T7" s="4"/>
      <c r="U7" s="4"/>
      <c r="V7" s="4"/>
      <c r="W7" s="4"/>
      <c r="X7" s="4"/>
      <c r="Y7" s="4"/>
      <c r="Z7" s="4"/>
    </row>
    <row r="8" spans="1:26">
      <c r="A8" s="130" t="s">
        <v>277</v>
      </c>
      <c r="B8" s="126"/>
      <c r="C8" s="127">
        <f>Staffing!J37</f>
        <v>78</v>
      </c>
      <c r="D8" s="128">
        <f>Staffing!O37</f>
        <v>125</v>
      </c>
      <c r="E8" s="128">
        <f>Staffing!T37</f>
        <v>130</v>
      </c>
      <c r="F8" s="128">
        <f>Staffing!Y37</f>
        <v>130</v>
      </c>
      <c r="G8" s="129">
        <f>Staffing!AD37</f>
        <v>130</v>
      </c>
      <c r="H8" s="126"/>
      <c r="I8" s="131"/>
      <c r="J8" s="67" t="s">
        <v>274</v>
      </c>
      <c r="K8" s="4"/>
      <c r="L8" s="4"/>
      <c r="M8" s="4"/>
      <c r="N8" s="4"/>
      <c r="O8" s="4"/>
      <c r="P8" s="4"/>
      <c r="Q8" s="4"/>
      <c r="R8" s="4" t="s">
        <v>278</v>
      </c>
      <c r="S8" s="4" t="s">
        <v>279</v>
      </c>
      <c r="T8" s="4"/>
      <c r="U8" s="4"/>
      <c r="V8" s="4"/>
      <c r="W8" s="4"/>
      <c r="X8" s="4"/>
      <c r="Y8" s="4"/>
      <c r="Z8" s="4"/>
    </row>
    <row r="9" spans="1:26">
      <c r="A9" s="130" t="s">
        <v>280</v>
      </c>
      <c r="B9" s="126"/>
      <c r="C9" s="127">
        <f>Staffing!J38</f>
        <v>78</v>
      </c>
      <c r="D9" s="128">
        <f>Staffing!O38</f>
        <v>125</v>
      </c>
      <c r="E9" s="128">
        <f>Staffing!T38</f>
        <v>130</v>
      </c>
      <c r="F9" s="128">
        <f>Staffing!Y38</f>
        <v>130</v>
      </c>
      <c r="G9" s="129">
        <f>Staffing!AD38</f>
        <v>130</v>
      </c>
      <c r="H9" s="126"/>
      <c r="I9" s="131"/>
      <c r="J9" s="67" t="s">
        <v>274</v>
      </c>
      <c r="K9" s="4"/>
      <c r="L9" s="4"/>
      <c r="M9" s="4"/>
      <c r="N9" s="4"/>
      <c r="O9" s="4"/>
      <c r="P9" s="4"/>
      <c r="Q9" s="4"/>
      <c r="R9" s="4"/>
      <c r="S9" s="4"/>
      <c r="T9" s="4"/>
      <c r="U9" s="4"/>
      <c r="V9" s="4"/>
      <c r="W9" s="4"/>
      <c r="X9" s="4"/>
      <c r="Y9" s="4"/>
      <c r="Z9" s="4"/>
    </row>
    <row r="10" spans="1:26">
      <c r="A10" s="130" t="s">
        <v>281</v>
      </c>
      <c r="B10" s="126"/>
      <c r="C10" s="127">
        <f>Staffing!J39</f>
        <v>78</v>
      </c>
      <c r="D10" s="128">
        <f>Staffing!O39</f>
        <v>125</v>
      </c>
      <c r="E10" s="128">
        <f>Staffing!T39</f>
        <v>130</v>
      </c>
      <c r="F10" s="128">
        <f>Staffing!Y39</f>
        <v>130</v>
      </c>
      <c r="G10" s="129">
        <f>Staffing!AD39</f>
        <v>130</v>
      </c>
      <c r="H10" s="126"/>
      <c r="I10" s="131"/>
      <c r="J10" s="67" t="s">
        <v>274</v>
      </c>
      <c r="K10" s="4"/>
      <c r="L10" s="4"/>
      <c r="M10" s="4"/>
      <c r="N10" s="4"/>
      <c r="O10" s="4"/>
      <c r="P10" s="4"/>
      <c r="Q10" s="4"/>
      <c r="R10" s="4"/>
      <c r="S10" s="4"/>
      <c r="T10" s="4"/>
      <c r="U10" s="4"/>
      <c r="V10" s="4"/>
      <c r="W10" s="4"/>
      <c r="X10" s="4"/>
      <c r="Y10" s="4"/>
      <c r="Z10" s="4"/>
    </row>
    <row r="11" spans="1:26">
      <c r="A11" s="130" t="s">
        <v>282</v>
      </c>
      <c r="B11" s="126"/>
      <c r="C11" s="127">
        <f>Staffing!J40</f>
        <v>52</v>
      </c>
      <c r="D11" s="128">
        <f>Staffing!O40</f>
        <v>100</v>
      </c>
      <c r="E11" s="128">
        <f>Staffing!T40</f>
        <v>130</v>
      </c>
      <c r="F11" s="128">
        <f>Staffing!Y40</f>
        <v>130</v>
      </c>
      <c r="G11" s="129">
        <f>Staffing!AD40</f>
        <v>130</v>
      </c>
      <c r="H11" s="126"/>
      <c r="I11" s="131"/>
      <c r="J11" s="67" t="s">
        <v>274</v>
      </c>
      <c r="K11" s="4"/>
      <c r="L11" s="4"/>
      <c r="M11" s="4"/>
      <c r="N11" s="4"/>
      <c r="O11" s="4"/>
      <c r="P11" s="4"/>
      <c r="Q11" s="4"/>
      <c r="R11" s="4"/>
      <c r="S11" s="4"/>
      <c r="T11" s="4"/>
      <c r="U11" s="4"/>
      <c r="V11" s="4"/>
      <c r="W11" s="4"/>
      <c r="X11" s="4"/>
      <c r="Y11" s="4"/>
      <c r="Z11" s="4"/>
    </row>
    <row r="12" spans="1:26">
      <c r="A12" s="130" t="s">
        <v>283</v>
      </c>
      <c r="B12" s="126"/>
      <c r="C12" s="127">
        <f>Staffing!J41</f>
        <v>52</v>
      </c>
      <c r="D12" s="128">
        <f>Staffing!O41</f>
        <v>75</v>
      </c>
      <c r="E12" s="128">
        <f>Staffing!T41</f>
        <v>130</v>
      </c>
      <c r="F12" s="128">
        <f>Staffing!Y41</f>
        <v>130</v>
      </c>
      <c r="G12" s="129">
        <f>Staffing!AD41</f>
        <v>130</v>
      </c>
      <c r="H12" s="126"/>
      <c r="I12" s="131"/>
      <c r="J12" s="67" t="s">
        <v>274</v>
      </c>
      <c r="K12" s="4"/>
      <c r="L12" s="4"/>
      <c r="M12" s="4"/>
      <c r="N12" s="4"/>
      <c r="O12" s="4"/>
      <c r="P12" s="4"/>
      <c r="Q12" s="4"/>
      <c r="R12" s="4"/>
      <c r="S12" s="4"/>
      <c r="T12" s="4"/>
      <c r="U12" s="4"/>
      <c r="V12" s="4"/>
      <c r="W12" s="4"/>
      <c r="X12" s="4"/>
      <c r="Y12" s="4"/>
      <c r="Z12" s="4"/>
    </row>
    <row r="13" spans="1:26">
      <c r="A13" s="130" t="s">
        <v>284</v>
      </c>
      <c r="B13" s="126"/>
      <c r="C13" s="127">
        <f>Staffing!J42</f>
        <v>52</v>
      </c>
      <c r="D13" s="128">
        <f>Staffing!O42</f>
        <v>50</v>
      </c>
      <c r="E13" s="128">
        <f>Staffing!T42</f>
        <v>130</v>
      </c>
      <c r="F13" s="128">
        <f>Staffing!Y42</f>
        <v>125</v>
      </c>
      <c r="G13" s="129">
        <f>Staffing!AD42</f>
        <v>125</v>
      </c>
      <c r="H13" s="126"/>
      <c r="I13" s="131"/>
      <c r="J13" s="67" t="s">
        <v>274</v>
      </c>
      <c r="K13" s="4"/>
      <c r="L13" s="4"/>
      <c r="M13" s="4"/>
      <c r="N13" s="4"/>
      <c r="O13" s="4"/>
      <c r="P13" s="4"/>
      <c r="Q13" s="4"/>
      <c r="R13" s="4"/>
      <c r="S13" s="4"/>
      <c r="T13" s="4"/>
      <c r="U13" s="4"/>
      <c r="V13" s="4"/>
      <c r="W13" s="4"/>
      <c r="X13" s="4"/>
      <c r="Y13" s="4"/>
      <c r="Z13" s="4"/>
    </row>
    <row r="14" spans="1:26">
      <c r="A14" s="130" t="s">
        <v>285</v>
      </c>
      <c r="B14" s="126"/>
      <c r="C14" s="132">
        <f>Staffing!J55</f>
        <v>25</v>
      </c>
      <c r="D14" s="133">
        <f>Staffing!O43</f>
        <v>44</v>
      </c>
      <c r="E14" s="128">
        <f>Staffing!T43</f>
        <v>66</v>
      </c>
      <c r="F14" s="128">
        <f>Staffing!Y43</f>
        <v>110</v>
      </c>
      <c r="G14" s="129">
        <f>Staffing!AD43</f>
        <v>115</v>
      </c>
      <c r="H14" s="126"/>
      <c r="I14" s="131"/>
      <c r="J14" s="67" t="s">
        <v>286</v>
      </c>
      <c r="K14" s="4"/>
      <c r="L14" s="4"/>
      <c r="M14" s="4"/>
      <c r="N14" s="4"/>
      <c r="O14" s="4"/>
      <c r="P14" s="4"/>
      <c r="Q14" s="4"/>
      <c r="R14" s="4"/>
      <c r="S14" s="4"/>
      <c r="T14" s="4"/>
      <c r="U14" s="4"/>
      <c r="V14" s="4"/>
      <c r="W14" s="4"/>
      <c r="X14" s="4"/>
      <c r="Y14" s="4"/>
      <c r="Z14" s="4"/>
    </row>
    <row r="15" spans="1:26">
      <c r="A15" s="120" t="s">
        <v>287</v>
      </c>
      <c r="B15" s="126"/>
      <c r="C15" s="132">
        <v>0</v>
      </c>
      <c r="D15" s="133">
        <f>Staffing!O44</f>
        <v>22</v>
      </c>
      <c r="E15" s="128">
        <f>Staffing!T44</f>
        <v>44</v>
      </c>
      <c r="F15" s="128">
        <f>Staffing!Y44</f>
        <v>66</v>
      </c>
      <c r="G15" s="129">
        <f>Staffing!AD44</f>
        <v>115</v>
      </c>
      <c r="H15" s="126"/>
      <c r="I15" s="125"/>
      <c r="J15" s="67" t="s">
        <v>286</v>
      </c>
      <c r="K15" s="4"/>
      <c r="L15" s="4"/>
      <c r="M15" s="4"/>
      <c r="N15" s="4"/>
      <c r="O15" s="4"/>
      <c r="P15" s="4"/>
      <c r="Q15" s="4"/>
      <c r="R15" s="4"/>
      <c r="S15" s="4"/>
      <c r="T15" s="4"/>
      <c r="U15" s="4"/>
      <c r="V15" s="4"/>
      <c r="W15" s="4"/>
      <c r="X15" s="4"/>
      <c r="Y15" s="4"/>
      <c r="Z15" s="4"/>
    </row>
    <row r="16" spans="1:26">
      <c r="A16" s="130" t="s">
        <v>288</v>
      </c>
      <c r="B16" s="126"/>
      <c r="C16" s="132">
        <v>0</v>
      </c>
      <c r="D16" s="133">
        <v>0</v>
      </c>
      <c r="E16" s="133">
        <v>0</v>
      </c>
      <c r="F16" s="133">
        <v>0</v>
      </c>
      <c r="G16" s="134">
        <v>0</v>
      </c>
      <c r="H16" s="126"/>
      <c r="I16" s="131"/>
      <c r="J16" s="67" t="s">
        <v>286</v>
      </c>
      <c r="K16" s="4"/>
      <c r="L16" s="4"/>
      <c r="M16" s="4"/>
      <c r="N16" s="4"/>
      <c r="O16" s="4"/>
      <c r="P16" s="4"/>
      <c r="Q16" s="4"/>
      <c r="R16" s="4"/>
      <c r="S16" s="4"/>
      <c r="T16" s="4"/>
      <c r="U16" s="4"/>
      <c r="V16" s="4"/>
      <c r="W16" s="4"/>
      <c r="X16" s="4"/>
      <c r="Y16" s="4"/>
      <c r="Z16" s="4"/>
    </row>
    <row r="17" spans="1:26">
      <c r="A17" s="130" t="s">
        <v>289</v>
      </c>
      <c r="B17" s="126"/>
      <c r="C17" s="132">
        <v>0</v>
      </c>
      <c r="D17" s="133">
        <v>0</v>
      </c>
      <c r="E17" s="133">
        <v>0</v>
      </c>
      <c r="F17" s="133">
        <v>0</v>
      </c>
      <c r="G17" s="134">
        <v>0</v>
      </c>
      <c r="H17" s="126"/>
      <c r="I17" s="131"/>
      <c r="J17" s="67" t="s">
        <v>286</v>
      </c>
      <c r="K17" s="4"/>
      <c r="L17" s="4"/>
      <c r="M17" s="4"/>
      <c r="N17" s="4"/>
      <c r="O17" s="4"/>
      <c r="P17" s="4"/>
      <c r="Q17" s="4"/>
      <c r="R17" s="4"/>
      <c r="S17" s="4"/>
      <c r="T17" s="4"/>
      <c r="U17" s="4"/>
      <c r="V17" s="4"/>
      <c r="W17" s="4"/>
      <c r="X17" s="4"/>
      <c r="Y17" s="4"/>
      <c r="Z17" s="4"/>
    </row>
    <row r="18" spans="1:26">
      <c r="A18" s="130" t="s">
        <v>290</v>
      </c>
      <c r="B18" s="126"/>
      <c r="C18" s="132">
        <v>0</v>
      </c>
      <c r="D18" s="133">
        <v>0</v>
      </c>
      <c r="E18" s="133">
        <v>0</v>
      </c>
      <c r="F18" s="133">
        <v>0</v>
      </c>
      <c r="G18" s="134">
        <v>0</v>
      </c>
      <c r="H18" s="126"/>
      <c r="I18" s="131"/>
      <c r="J18" s="67" t="s">
        <v>286</v>
      </c>
      <c r="K18" s="4"/>
      <c r="L18" s="4"/>
      <c r="M18" s="4"/>
      <c r="N18" s="4"/>
      <c r="O18" s="4"/>
      <c r="P18" s="4"/>
      <c r="Q18" s="4"/>
      <c r="R18" s="4"/>
      <c r="S18" s="4"/>
      <c r="T18" s="4"/>
      <c r="U18" s="4"/>
      <c r="V18" s="4"/>
      <c r="W18" s="4"/>
      <c r="X18" s="4"/>
      <c r="Y18" s="4"/>
      <c r="Z18" s="4"/>
    </row>
    <row r="19" spans="1:26">
      <c r="A19" s="120" t="s">
        <v>291</v>
      </c>
      <c r="B19" s="126"/>
      <c r="C19" s="132">
        <v>0</v>
      </c>
      <c r="D19" s="133">
        <v>0</v>
      </c>
      <c r="E19" s="133">
        <v>0</v>
      </c>
      <c r="F19" s="133">
        <v>0</v>
      </c>
      <c r="G19" s="134">
        <v>0</v>
      </c>
      <c r="H19" s="126"/>
      <c r="I19" s="125"/>
      <c r="J19" s="67" t="s">
        <v>286</v>
      </c>
      <c r="K19" s="4"/>
      <c r="L19" s="4"/>
      <c r="M19" s="4"/>
      <c r="N19" s="4"/>
      <c r="O19" s="4"/>
      <c r="P19" s="4"/>
      <c r="Q19" s="4"/>
      <c r="R19" s="4"/>
      <c r="S19" s="4"/>
      <c r="T19" s="4"/>
      <c r="U19" s="4"/>
      <c r="V19" s="4"/>
      <c r="W19" s="4"/>
      <c r="X19" s="4"/>
      <c r="Y19" s="4"/>
      <c r="Z19" s="4"/>
    </row>
    <row r="20" spans="1:26">
      <c r="A20" s="135" t="s">
        <v>292</v>
      </c>
      <c r="B20" s="126"/>
      <c r="C20" s="136">
        <f t="shared" ref="C20:G20" si="0">SUM(C6:C19)</f>
        <v>545</v>
      </c>
      <c r="D20" s="137">
        <f t="shared" si="0"/>
        <v>791</v>
      </c>
      <c r="E20" s="137">
        <f t="shared" si="0"/>
        <v>1015</v>
      </c>
      <c r="F20" s="137">
        <f t="shared" si="0"/>
        <v>1076</v>
      </c>
      <c r="G20" s="138">
        <f t="shared" si="0"/>
        <v>1130</v>
      </c>
      <c r="H20" s="126"/>
      <c r="I20" s="125"/>
      <c r="J20" s="67"/>
      <c r="K20" s="4"/>
      <c r="L20" s="4"/>
      <c r="M20" s="4"/>
      <c r="N20" s="4"/>
      <c r="O20" s="4"/>
      <c r="P20" s="4"/>
      <c r="Q20" s="4"/>
      <c r="R20" s="4"/>
      <c r="S20" s="4"/>
      <c r="T20" s="4"/>
      <c r="U20" s="4"/>
      <c r="V20" s="4"/>
      <c r="W20" s="4"/>
      <c r="X20" s="4"/>
      <c r="Y20" s="4"/>
      <c r="Z20" s="4"/>
    </row>
    <row r="21" spans="1:26">
      <c r="A21" s="135" t="s">
        <v>293</v>
      </c>
      <c r="B21" s="126"/>
      <c r="C21" s="136">
        <f t="shared" ref="C21:G21" si="1">SUM(C8:C19)+C7*0.5</f>
        <v>480</v>
      </c>
      <c r="D21" s="137">
        <f t="shared" si="1"/>
        <v>728.5</v>
      </c>
      <c r="E21" s="137">
        <f t="shared" si="1"/>
        <v>952.5</v>
      </c>
      <c r="F21" s="137">
        <f t="shared" si="1"/>
        <v>1013.5</v>
      </c>
      <c r="G21" s="138">
        <f t="shared" si="1"/>
        <v>1067.5</v>
      </c>
      <c r="H21" s="126"/>
      <c r="I21" s="125"/>
      <c r="J21" s="67" t="s">
        <v>294</v>
      </c>
      <c r="K21" s="4"/>
      <c r="L21" s="4"/>
      <c r="M21" s="4"/>
      <c r="N21" s="4"/>
      <c r="O21" s="4"/>
      <c r="P21" s="4"/>
      <c r="Q21" s="4"/>
      <c r="R21" s="4"/>
      <c r="S21" s="4"/>
      <c r="T21" s="4"/>
      <c r="U21" s="4"/>
      <c r="V21" s="4"/>
      <c r="W21" s="4"/>
      <c r="X21" s="4"/>
      <c r="Y21" s="4"/>
      <c r="Z21" s="4"/>
    </row>
    <row r="22" spans="1:26">
      <c r="A22" s="135" t="s">
        <v>295</v>
      </c>
      <c r="B22" s="126"/>
      <c r="C22" s="136">
        <f t="shared" ref="C22:G22" si="2">SUM(C8:C19)+C7*0.58</f>
        <v>490.4</v>
      </c>
      <c r="D22" s="137">
        <f t="shared" si="2"/>
        <v>738.5</v>
      </c>
      <c r="E22" s="137">
        <f t="shared" si="2"/>
        <v>962.5</v>
      </c>
      <c r="F22" s="137">
        <f t="shared" si="2"/>
        <v>1023.5</v>
      </c>
      <c r="G22" s="138">
        <f t="shared" si="2"/>
        <v>1077.5</v>
      </c>
      <c r="H22" s="126"/>
      <c r="I22" s="125"/>
      <c r="J22" s="67" t="s">
        <v>296</v>
      </c>
      <c r="K22" s="4"/>
      <c r="L22" s="4"/>
      <c r="M22" s="4"/>
      <c r="N22" s="4"/>
      <c r="O22" s="4"/>
      <c r="P22" s="4"/>
      <c r="Q22" s="4"/>
      <c r="R22" s="4"/>
      <c r="S22" s="4"/>
      <c r="T22" s="4"/>
      <c r="U22" s="4"/>
      <c r="V22" s="4"/>
      <c r="W22" s="4"/>
      <c r="X22" s="4"/>
      <c r="Y22" s="4"/>
      <c r="Z22" s="4"/>
    </row>
    <row r="23" spans="1:26">
      <c r="A23" s="130" t="s">
        <v>297</v>
      </c>
      <c r="B23" s="139"/>
      <c r="C23" s="140">
        <v>0</v>
      </c>
      <c r="D23" s="141">
        <v>0</v>
      </c>
      <c r="E23" s="141">
        <v>0</v>
      </c>
      <c r="F23" s="141">
        <v>0</v>
      </c>
      <c r="G23" s="142">
        <v>0</v>
      </c>
      <c r="H23" s="139"/>
      <c r="I23" s="131"/>
      <c r="J23" s="67" t="s">
        <v>298</v>
      </c>
      <c r="K23" s="4"/>
      <c r="L23" s="4"/>
      <c r="M23" s="4"/>
      <c r="N23" s="4"/>
      <c r="O23" s="4"/>
      <c r="P23" s="4"/>
      <c r="Q23" s="4"/>
      <c r="R23" s="4"/>
      <c r="S23" s="4"/>
      <c r="T23" s="4"/>
      <c r="U23" s="4"/>
      <c r="V23" s="4"/>
      <c r="W23" s="4"/>
      <c r="X23" s="4"/>
      <c r="Y23" s="4"/>
      <c r="Z23" s="4"/>
    </row>
    <row r="24" spans="1:26">
      <c r="A24" s="130" t="s">
        <v>299</v>
      </c>
      <c r="B24" s="143"/>
      <c r="C24" s="144">
        <v>0</v>
      </c>
      <c r="D24" s="145">
        <v>0</v>
      </c>
      <c r="E24" s="145">
        <v>0</v>
      </c>
      <c r="F24" s="145">
        <v>0</v>
      </c>
      <c r="G24" s="146">
        <v>0</v>
      </c>
      <c r="H24" s="143"/>
      <c r="I24" s="125"/>
      <c r="J24" s="67" t="s">
        <v>300</v>
      </c>
      <c r="K24" s="4"/>
      <c r="L24" s="4"/>
      <c r="M24" s="4"/>
      <c r="N24" s="4"/>
      <c r="O24" s="4"/>
      <c r="P24" s="4"/>
      <c r="Q24" s="4"/>
      <c r="R24" s="4"/>
      <c r="S24" s="4"/>
      <c r="T24" s="4"/>
      <c r="U24" s="4"/>
      <c r="V24" s="4"/>
      <c r="W24" s="4"/>
      <c r="X24" s="4"/>
      <c r="Y24" s="4"/>
      <c r="Z24" s="4"/>
    </row>
    <row r="25" spans="1:26">
      <c r="A25" s="147"/>
      <c r="B25" s="97"/>
      <c r="C25" s="97"/>
      <c r="D25" s="97"/>
      <c r="E25" s="97"/>
      <c r="F25" s="97"/>
      <c r="G25" s="97"/>
      <c r="H25" s="97"/>
      <c r="I25" s="67"/>
      <c r="J25" s="67"/>
      <c r="K25" s="4"/>
      <c r="L25" s="4"/>
      <c r="M25" s="4"/>
      <c r="N25" s="4"/>
      <c r="O25" s="4"/>
      <c r="P25" s="4"/>
      <c r="Q25" s="4"/>
      <c r="R25" s="4"/>
      <c r="S25" s="4"/>
      <c r="T25" s="4"/>
      <c r="U25" s="4"/>
      <c r="V25" s="4"/>
      <c r="W25" s="4"/>
      <c r="X25" s="4"/>
      <c r="Y25" s="4"/>
      <c r="Z25" s="4"/>
    </row>
    <row r="26" spans="1:26">
      <c r="A26" s="318" t="s">
        <v>301</v>
      </c>
      <c r="B26" s="316"/>
      <c r="C26" s="316"/>
      <c r="D26" s="316"/>
      <c r="E26" s="316"/>
      <c r="F26" s="316"/>
      <c r="G26" s="316"/>
      <c r="H26" s="316"/>
      <c r="I26" s="297"/>
      <c r="J26" s="67"/>
      <c r="K26" s="4"/>
      <c r="L26" s="4"/>
      <c r="M26" s="4"/>
      <c r="N26" s="4"/>
      <c r="O26" s="4"/>
      <c r="P26" s="4"/>
      <c r="Q26" s="4"/>
      <c r="R26" s="4"/>
      <c r="S26" s="4"/>
      <c r="T26" s="4"/>
      <c r="U26" s="4"/>
      <c r="V26" s="4"/>
      <c r="W26" s="4"/>
      <c r="X26" s="4"/>
      <c r="Y26" s="4"/>
      <c r="Z26" s="4"/>
    </row>
    <row r="27" spans="1:26">
      <c r="A27" s="148" t="s">
        <v>302</v>
      </c>
      <c r="B27" s="149"/>
      <c r="C27" s="150">
        <v>7338</v>
      </c>
      <c r="D27" s="151">
        <f t="shared" ref="D27:G27" si="3">C27*1.02</f>
        <v>7484.76</v>
      </c>
      <c r="E27" s="151">
        <f t="shared" si="3"/>
        <v>7634.4552000000003</v>
      </c>
      <c r="F27" s="151">
        <f t="shared" si="3"/>
        <v>7787.1443040000004</v>
      </c>
      <c r="G27" s="151">
        <f t="shared" si="3"/>
        <v>7942.8871900800004</v>
      </c>
      <c r="H27" s="152"/>
      <c r="I27" s="153"/>
      <c r="J27" s="67" t="s">
        <v>303</v>
      </c>
      <c r="K27" s="4"/>
      <c r="L27" s="4"/>
      <c r="M27" s="4"/>
      <c r="N27" s="4"/>
      <c r="O27" s="4"/>
      <c r="P27" s="4"/>
      <c r="Q27" s="4"/>
      <c r="R27" s="4"/>
      <c r="S27" s="4"/>
      <c r="T27" s="4"/>
      <c r="U27" s="4"/>
      <c r="V27" s="4"/>
      <c r="W27" s="4"/>
      <c r="X27" s="4"/>
      <c r="Y27" s="4"/>
      <c r="Z27" s="4"/>
    </row>
    <row r="28" spans="1:26">
      <c r="A28" s="154" t="s">
        <v>146</v>
      </c>
      <c r="B28" s="155"/>
      <c r="C28" s="156">
        <v>530</v>
      </c>
      <c r="D28" s="157">
        <f t="shared" ref="D28:G28" si="4">C28*0.98</f>
        <v>519.4</v>
      </c>
      <c r="E28" s="157">
        <f t="shared" si="4"/>
        <v>509.01199999999994</v>
      </c>
      <c r="F28" s="157">
        <f t="shared" si="4"/>
        <v>498.83175999999992</v>
      </c>
      <c r="G28" s="157">
        <f t="shared" si="4"/>
        <v>488.85512479999988</v>
      </c>
      <c r="H28" s="158"/>
      <c r="I28" s="153"/>
      <c r="J28" s="67" t="s">
        <v>304</v>
      </c>
      <c r="K28" s="4"/>
      <c r="L28" s="4"/>
      <c r="M28" s="4"/>
      <c r="N28" s="4"/>
      <c r="O28" s="4"/>
      <c r="P28" s="4"/>
      <c r="Q28" s="4"/>
      <c r="R28" s="4"/>
      <c r="S28" s="4"/>
      <c r="T28" s="4"/>
      <c r="U28" s="4"/>
      <c r="V28" s="4"/>
      <c r="W28" s="4"/>
      <c r="X28" s="4"/>
      <c r="Y28" s="4"/>
      <c r="Z28" s="4"/>
    </row>
    <row r="29" spans="1:26">
      <c r="A29" s="154" t="s">
        <v>147</v>
      </c>
      <c r="B29" s="155"/>
      <c r="C29" s="156">
        <f>3500*(C7*0.5)</f>
        <v>227500</v>
      </c>
      <c r="D29" s="156">
        <f>3500*(D7*0.6)</f>
        <v>262500</v>
      </c>
      <c r="E29" s="156">
        <f t="shared" ref="E29:G29" si="5">3500*(E7*0.6)</f>
        <v>262500</v>
      </c>
      <c r="F29" s="156">
        <f t="shared" si="5"/>
        <v>262500</v>
      </c>
      <c r="G29" s="156">
        <f t="shared" si="5"/>
        <v>262500</v>
      </c>
      <c r="H29" s="158"/>
      <c r="I29" s="274" t="s">
        <v>479</v>
      </c>
      <c r="J29" s="67" t="s">
        <v>305</v>
      </c>
      <c r="K29" s="4"/>
      <c r="L29" s="4"/>
      <c r="M29" s="4"/>
      <c r="N29" s="4"/>
      <c r="O29" s="4"/>
      <c r="P29" s="4"/>
      <c r="Q29" s="4"/>
      <c r="R29" s="4"/>
      <c r="S29" s="4"/>
      <c r="T29" s="4"/>
      <c r="U29" s="4"/>
      <c r="V29" s="4"/>
      <c r="W29" s="4"/>
      <c r="X29" s="4"/>
      <c r="Y29" s="4"/>
      <c r="Z29" s="4"/>
    </row>
    <row r="30" spans="1:26">
      <c r="A30" s="154" t="s">
        <v>149</v>
      </c>
      <c r="B30" s="155"/>
      <c r="C30" s="156">
        <v>0</v>
      </c>
      <c r="D30" s="156">
        <v>0</v>
      </c>
      <c r="E30" s="156">
        <v>0</v>
      </c>
      <c r="F30" s="156">
        <v>0</v>
      </c>
      <c r="G30" s="156">
        <v>0</v>
      </c>
      <c r="H30" s="158"/>
      <c r="I30" s="267"/>
      <c r="J30" s="67" t="s">
        <v>305</v>
      </c>
      <c r="K30" s="4"/>
      <c r="L30" s="4"/>
      <c r="M30" s="4"/>
      <c r="N30" s="4"/>
      <c r="O30" s="4"/>
      <c r="P30" s="4"/>
      <c r="Q30" s="4"/>
      <c r="R30" s="4"/>
      <c r="S30" s="4"/>
      <c r="T30" s="4"/>
      <c r="U30" s="4"/>
      <c r="V30" s="4"/>
      <c r="W30" s="4"/>
      <c r="X30" s="4"/>
      <c r="Y30" s="4"/>
      <c r="Z30" s="4"/>
    </row>
    <row r="31" spans="1:26">
      <c r="A31" s="154" t="s">
        <v>148</v>
      </c>
      <c r="B31" s="155"/>
      <c r="C31" s="156">
        <v>0</v>
      </c>
      <c r="D31" s="156">
        <v>0</v>
      </c>
      <c r="E31" s="156">
        <v>0</v>
      </c>
      <c r="F31" s="156">
        <v>0</v>
      </c>
      <c r="G31" s="156">
        <v>0</v>
      </c>
      <c r="H31" s="158"/>
      <c r="I31" s="267"/>
      <c r="J31" s="67" t="s">
        <v>305</v>
      </c>
      <c r="K31" s="4"/>
      <c r="L31" s="4"/>
      <c r="M31" s="4"/>
      <c r="N31" s="4"/>
      <c r="O31" s="4"/>
      <c r="P31" s="4"/>
      <c r="Q31" s="4"/>
      <c r="R31" s="4"/>
      <c r="S31" s="4"/>
      <c r="T31" s="4"/>
      <c r="U31" s="4"/>
      <c r="V31" s="4"/>
      <c r="W31" s="4"/>
      <c r="X31" s="4"/>
      <c r="Y31" s="4"/>
      <c r="Z31" s="4"/>
    </row>
    <row r="32" spans="1:26">
      <c r="A32" s="154" t="s">
        <v>151</v>
      </c>
      <c r="B32" s="155"/>
      <c r="C32" s="156">
        <f>200*0.9*(Staffing!J65-(Staffing!J36/2))</f>
        <v>86400</v>
      </c>
      <c r="D32" s="156">
        <f>200*0.9*(Staffing!O65-(Staffing!O36/2))</f>
        <v>131130</v>
      </c>
      <c r="E32" s="156">
        <f>200*0.9*(Staffing!T65-(Staffing!T36/2))</f>
        <v>171450</v>
      </c>
      <c r="F32" s="156">
        <f>200*0.9*(Staffing!Y65-(Staffing!Y36/2))</f>
        <v>182430</v>
      </c>
      <c r="G32" s="156">
        <f>200*0.9*(Staffing!AD65-(Staffing!AD36/2))</f>
        <v>192150</v>
      </c>
      <c r="H32" s="158"/>
      <c r="I32" s="267" t="s">
        <v>480</v>
      </c>
      <c r="J32" s="67" t="s">
        <v>305</v>
      </c>
      <c r="K32" s="4"/>
      <c r="L32" s="4"/>
      <c r="M32" s="4"/>
      <c r="N32" s="4"/>
      <c r="O32" s="4"/>
      <c r="P32" s="4"/>
      <c r="Q32" s="4"/>
      <c r="R32" s="4"/>
      <c r="S32" s="4"/>
      <c r="T32" s="4"/>
      <c r="U32" s="4"/>
      <c r="V32" s="4"/>
      <c r="W32" s="4"/>
      <c r="X32" s="4"/>
      <c r="Y32" s="4"/>
      <c r="Z32" s="4"/>
    </row>
    <row r="33" spans="1:26">
      <c r="A33" s="154" t="s">
        <v>150</v>
      </c>
      <c r="B33" s="155"/>
      <c r="C33" s="156">
        <f>5*2.5*(C20*0.1)*180</f>
        <v>122625</v>
      </c>
      <c r="D33" s="156">
        <f t="shared" ref="D33:G33" si="6">5*2.5*(D20*0.1)*180</f>
        <v>177975.00000000003</v>
      </c>
      <c r="E33" s="156">
        <f t="shared" si="6"/>
        <v>228375</v>
      </c>
      <c r="F33" s="156">
        <f t="shared" si="6"/>
        <v>242100</v>
      </c>
      <c r="G33" s="156">
        <f t="shared" si="6"/>
        <v>254250</v>
      </c>
      <c r="H33" s="158"/>
      <c r="I33" s="267" t="s">
        <v>481</v>
      </c>
      <c r="J33" s="67" t="s">
        <v>305</v>
      </c>
      <c r="K33" s="4"/>
      <c r="L33" s="4"/>
      <c r="M33" s="4"/>
      <c r="N33" s="4"/>
      <c r="O33" s="4"/>
      <c r="P33" s="4"/>
      <c r="Q33" s="4"/>
      <c r="R33" s="4"/>
      <c r="S33" s="4"/>
      <c r="T33" s="4"/>
      <c r="U33" s="4"/>
      <c r="V33" s="4"/>
      <c r="W33" s="4"/>
      <c r="X33" s="4"/>
      <c r="Y33" s="4"/>
      <c r="Z33" s="4"/>
    </row>
    <row r="34" spans="1:26">
      <c r="A34" s="154" t="s">
        <v>153</v>
      </c>
      <c r="B34" s="156">
        <v>0</v>
      </c>
      <c r="C34" s="156">
        <v>0</v>
      </c>
      <c r="D34" s="156">
        <v>0</v>
      </c>
      <c r="E34" s="156">
        <v>0</v>
      </c>
      <c r="F34" s="156">
        <v>0</v>
      </c>
      <c r="G34" s="156">
        <v>0</v>
      </c>
      <c r="H34" s="158"/>
      <c r="I34" s="267" t="s">
        <v>482</v>
      </c>
      <c r="J34" s="67" t="s">
        <v>305</v>
      </c>
      <c r="K34" s="4"/>
      <c r="L34" s="4"/>
      <c r="M34" s="4"/>
      <c r="N34" s="4"/>
      <c r="O34" s="4"/>
      <c r="P34" s="4"/>
      <c r="Q34" s="4"/>
      <c r="R34" s="4"/>
      <c r="S34" s="4"/>
      <c r="T34" s="4"/>
      <c r="U34" s="4"/>
      <c r="V34" s="4"/>
      <c r="W34" s="4"/>
      <c r="X34" s="4"/>
      <c r="Y34" s="4"/>
      <c r="Z34" s="4"/>
    </row>
    <row r="35" spans="1:26">
      <c r="A35" s="154" t="s">
        <v>152</v>
      </c>
      <c r="B35" s="156">
        <v>0</v>
      </c>
      <c r="C35" s="156">
        <v>0</v>
      </c>
      <c r="D35" s="156">
        <v>0</v>
      </c>
      <c r="E35" s="156">
        <v>0</v>
      </c>
      <c r="F35" s="156">
        <v>0</v>
      </c>
      <c r="G35" s="156">
        <v>0</v>
      </c>
      <c r="H35" s="158"/>
      <c r="I35" s="153"/>
      <c r="J35" s="67" t="s">
        <v>305</v>
      </c>
      <c r="K35" s="4"/>
      <c r="L35" s="4"/>
      <c r="M35" s="4"/>
      <c r="N35" s="4"/>
      <c r="O35" s="4"/>
      <c r="P35" s="4"/>
      <c r="Q35" s="4"/>
      <c r="R35" s="4"/>
      <c r="S35" s="4"/>
      <c r="T35" s="4"/>
      <c r="U35" s="4"/>
      <c r="V35" s="4"/>
      <c r="W35" s="4"/>
      <c r="X35" s="4"/>
      <c r="Y35" s="4"/>
      <c r="Z35" s="4"/>
    </row>
    <row r="36" spans="1:26">
      <c r="A36" s="154" t="s">
        <v>157</v>
      </c>
      <c r="B36" s="156">
        <v>0</v>
      </c>
      <c r="C36" s="156">
        <v>250</v>
      </c>
      <c r="D36" s="156">
        <v>225</v>
      </c>
      <c r="E36" s="156">
        <v>200</v>
      </c>
      <c r="F36" s="156">
        <v>175</v>
      </c>
      <c r="G36" s="156">
        <v>150</v>
      </c>
      <c r="H36" s="158"/>
      <c r="I36" s="153"/>
      <c r="J36" s="67" t="s">
        <v>306</v>
      </c>
      <c r="K36" s="4"/>
      <c r="L36" s="4"/>
      <c r="M36" s="4"/>
      <c r="N36" s="4"/>
      <c r="O36" s="4"/>
      <c r="P36" s="4"/>
      <c r="Q36" s="4"/>
      <c r="R36" s="4"/>
      <c r="S36" s="4"/>
      <c r="T36" s="4"/>
      <c r="U36" s="4"/>
      <c r="V36" s="4"/>
      <c r="W36" s="4"/>
      <c r="X36" s="4"/>
      <c r="Y36" s="4"/>
      <c r="Z36" s="4"/>
    </row>
    <row r="37" spans="1:26">
      <c r="A37" s="154" t="s">
        <v>161</v>
      </c>
      <c r="B37" s="156">
        <v>0</v>
      </c>
      <c r="C37" s="156">
        <v>0</v>
      </c>
      <c r="D37" s="156">
        <v>0</v>
      </c>
      <c r="E37" s="156">
        <v>0</v>
      </c>
      <c r="F37" s="156">
        <v>0</v>
      </c>
      <c r="G37" s="156">
        <v>0</v>
      </c>
      <c r="H37" s="158"/>
      <c r="I37" s="153"/>
      <c r="J37" s="67" t="s">
        <v>307</v>
      </c>
      <c r="K37" s="4"/>
      <c r="L37" s="4"/>
      <c r="M37" s="4"/>
      <c r="N37" s="4"/>
      <c r="O37" s="4"/>
      <c r="P37" s="4"/>
      <c r="Q37" s="4"/>
      <c r="R37" s="4"/>
      <c r="S37" s="4"/>
      <c r="T37" s="4"/>
      <c r="U37" s="4"/>
      <c r="V37" s="4"/>
      <c r="W37" s="4"/>
      <c r="X37" s="4"/>
      <c r="Y37" s="4"/>
      <c r="Z37" s="4"/>
    </row>
    <row r="38" spans="1:26">
      <c r="A38" s="159" t="s">
        <v>158</v>
      </c>
      <c r="B38" s="160">
        <v>0</v>
      </c>
      <c r="C38" s="160">
        <v>0</v>
      </c>
      <c r="D38" s="160">
        <v>0</v>
      </c>
      <c r="E38" s="160">
        <v>0</v>
      </c>
      <c r="F38" s="160">
        <v>0</v>
      </c>
      <c r="G38" s="160">
        <v>0</v>
      </c>
      <c r="H38" s="161"/>
      <c r="I38" s="153"/>
      <c r="J38" s="67" t="s">
        <v>308</v>
      </c>
      <c r="K38" s="4"/>
      <c r="L38" s="4"/>
      <c r="M38" s="4"/>
      <c r="N38" s="4"/>
      <c r="O38" s="4"/>
      <c r="P38" s="4"/>
      <c r="Q38" s="4"/>
      <c r="R38" s="4"/>
      <c r="S38" s="4"/>
      <c r="T38" s="4"/>
      <c r="U38" s="4"/>
      <c r="V38" s="4"/>
      <c r="W38" s="4"/>
      <c r="X38" s="4"/>
      <c r="Y38" s="4"/>
      <c r="Z38" s="4"/>
    </row>
    <row r="39" spans="1:26">
      <c r="A39" s="162"/>
      <c r="B39" s="163"/>
      <c r="C39" s="4"/>
      <c r="D39" s="93"/>
      <c r="E39" s="93"/>
      <c r="F39" s="93"/>
      <c r="G39" s="93"/>
      <c r="H39" s="93"/>
      <c r="I39" s="8"/>
      <c r="J39" s="67"/>
      <c r="K39" s="4"/>
      <c r="L39" s="4"/>
      <c r="M39" s="4"/>
      <c r="N39" s="4"/>
      <c r="O39" s="4"/>
      <c r="P39" s="4"/>
      <c r="Q39" s="4"/>
      <c r="R39" s="4"/>
      <c r="S39" s="4"/>
      <c r="T39" s="4"/>
      <c r="U39" s="4"/>
      <c r="V39" s="4"/>
      <c r="W39" s="4"/>
      <c r="X39" s="4"/>
      <c r="Y39" s="4"/>
      <c r="Z39" s="4"/>
    </row>
    <row r="40" spans="1:26">
      <c r="A40" s="318" t="s">
        <v>309</v>
      </c>
      <c r="B40" s="316"/>
      <c r="C40" s="316"/>
      <c r="D40" s="316"/>
      <c r="E40" s="316"/>
      <c r="F40" s="316"/>
      <c r="G40" s="316"/>
      <c r="H40" s="316"/>
      <c r="I40" s="297"/>
      <c r="J40" s="67"/>
      <c r="K40" s="4"/>
      <c r="L40" s="4"/>
      <c r="M40" s="4"/>
      <c r="N40" s="4"/>
      <c r="O40" s="4"/>
      <c r="P40" s="4"/>
      <c r="Q40" s="4"/>
      <c r="R40" s="4"/>
      <c r="S40" s="4"/>
      <c r="T40" s="4"/>
      <c r="U40" s="4"/>
      <c r="V40" s="4"/>
      <c r="W40" s="4"/>
      <c r="X40" s="4"/>
      <c r="Y40" s="4"/>
      <c r="Z40" s="4"/>
    </row>
    <row r="41" spans="1:26">
      <c r="A41" s="43" t="s">
        <v>11</v>
      </c>
      <c r="B41" s="164"/>
      <c r="C41" s="165">
        <f>SUMIFS(Staffing!$L$36:$L$62,Staffing!$B$36:$B$62,Assumptions!A41)</f>
        <v>1133000</v>
      </c>
      <c r="D41" s="165">
        <f>SUMIFS(Staffing!$Q$36:$Q$62,Staffing!$B$36:$B$62,A41)</f>
        <v>1764600</v>
      </c>
      <c r="E41" s="165">
        <f>SUMIFS(Staffing!$V$36:$V$62,Staffing!$B$36:$B$62,A41)</f>
        <v>2399162.4000000004</v>
      </c>
      <c r="F41" s="165">
        <f>SUMIFS(Staffing!$AA$36:$AA$62,Staffing!$B$36:$B$62,A41)</f>
        <v>2584041.48</v>
      </c>
      <c r="G41" s="166">
        <f>SUMIFS(Staffing!$AF$36:$AF$62,Staffing!$B$36:$B$62,A41)</f>
        <v>2728811.4753599991</v>
      </c>
      <c r="H41" s="167"/>
      <c r="I41" s="153"/>
      <c r="J41" s="67" t="s">
        <v>310</v>
      </c>
      <c r="K41" s="4"/>
      <c r="L41" s="4"/>
      <c r="M41" s="4"/>
      <c r="N41" s="4"/>
      <c r="O41" s="4"/>
      <c r="P41" s="4"/>
      <c r="Q41" s="4"/>
      <c r="R41" s="4"/>
      <c r="S41" s="4"/>
      <c r="T41" s="4"/>
      <c r="U41" s="4"/>
      <c r="V41" s="4"/>
      <c r="W41" s="4"/>
      <c r="X41" s="4"/>
      <c r="Y41" s="4"/>
      <c r="Z41" s="4"/>
    </row>
    <row r="42" spans="1:26">
      <c r="A42" s="4" t="s">
        <v>13</v>
      </c>
      <c r="B42" s="168"/>
      <c r="C42" s="96">
        <f>SUMIFS(Staffing!$L$36:$L$62,Staffing!$B$36:$B$62,A42)</f>
        <v>58000</v>
      </c>
      <c r="D42" s="96">
        <f>SUMIFS(Staffing!$Q$36:$Q$62,Staffing!$B$36:$B$62,A42)</f>
        <v>117300</v>
      </c>
      <c r="E42" s="96">
        <f>SUMIFS(Staffing!$V$36:$V$62,Staffing!$B$36:$B$62,A42)</f>
        <v>140454</v>
      </c>
      <c r="F42" s="96">
        <f>SUMIFS(Staffing!$AA$36:$AA$62,Staffing!$B$36:$B$62,A42)</f>
        <v>164487.24</v>
      </c>
      <c r="G42" s="169">
        <f>SUMIFS(Staffing!$AF$36:$AF$62,Staffing!$B$36:$B$62,A42)</f>
        <v>167776.98479999998</v>
      </c>
      <c r="H42" s="170"/>
      <c r="I42" s="153"/>
      <c r="J42" s="67" t="s">
        <v>310</v>
      </c>
      <c r="K42" s="4"/>
      <c r="L42" s="4"/>
      <c r="M42" s="4"/>
      <c r="N42" s="4"/>
      <c r="O42" s="4"/>
      <c r="P42" s="4"/>
      <c r="Q42" s="4"/>
      <c r="R42" s="4"/>
      <c r="S42" s="4"/>
      <c r="T42" s="4"/>
      <c r="U42" s="4"/>
      <c r="V42" s="4"/>
      <c r="W42" s="4"/>
      <c r="X42" s="4"/>
      <c r="Y42" s="4"/>
      <c r="Z42" s="4"/>
    </row>
    <row r="43" spans="1:26">
      <c r="A43" s="12" t="s">
        <v>311</v>
      </c>
      <c r="B43" s="171"/>
      <c r="C43" s="172">
        <f>Staffing!H63</f>
        <v>30</v>
      </c>
      <c r="D43" s="172">
        <f>Staffing!M63</f>
        <v>47</v>
      </c>
      <c r="E43" s="172">
        <f>Staffing!R63</f>
        <v>62</v>
      </c>
      <c r="F43" s="172">
        <f>Staffing!W63</f>
        <v>66</v>
      </c>
      <c r="G43" s="173">
        <f>Staffing!AB63</f>
        <v>68</v>
      </c>
      <c r="H43" s="174"/>
      <c r="I43" s="153"/>
      <c r="J43" s="67" t="s">
        <v>312</v>
      </c>
      <c r="K43" s="4"/>
      <c r="L43" s="4"/>
      <c r="M43" s="4"/>
      <c r="N43" s="4"/>
      <c r="O43" s="4"/>
      <c r="P43" s="4"/>
      <c r="Q43" s="4"/>
      <c r="R43" s="4"/>
      <c r="S43" s="4"/>
      <c r="T43" s="4"/>
      <c r="U43" s="4"/>
      <c r="V43" s="4"/>
      <c r="W43" s="4"/>
      <c r="X43" s="4"/>
      <c r="Y43" s="4"/>
      <c r="Z43" s="4"/>
    </row>
    <row r="44" spans="1:26">
      <c r="A44" s="48"/>
      <c r="B44" s="154"/>
      <c r="C44" s="4"/>
      <c r="D44" s="4"/>
      <c r="E44" s="4"/>
      <c r="F44" s="4"/>
      <c r="G44" s="175"/>
      <c r="H44" s="175"/>
      <c r="I44" s="175"/>
      <c r="J44" s="67"/>
      <c r="K44" s="4"/>
      <c r="L44" s="4"/>
      <c r="M44" s="4"/>
      <c r="N44" s="4"/>
      <c r="O44" s="4"/>
      <c r="P44" s="4"/>
      <c r="Q44" s="4"/>
      <c r="R44" s="4"/>
      <c r="S44" s="4"/>
      <c r="T44" s="4"/>
      <c r="U44" s="4"/>
      <c r="V44" s="4"/>
      <c r="W44" s="4"/>
      <c r="X44" s="4"/>
      <c r="Y44" s="4"/>
      <c r="Z44" s="4"/>
    </row>
    <row r="45" spans="1:26">
      <c r="A45" s="318" t="s">
        <v>313</v>
      </c>
      <c r="B45" s="316"/>
      <c r="C45" s="316"/>
      <c r="D45" s="316"/>
      <c r="E45" s="316"/>
      <c r="F45" s="316"/>
      <c r="G45" s="316"/>
      <c r="H45" s="316"/>
      <c r="I45" s="297"/>
      <c r="J45" s="67"/>
      <c r="K45" s="4"/>
      <c r="L45" s="4"/>
      <c r="M45" s="4"/>
      <c r="N45" s="4"/>
      <c r="O45" s="4"/>
      <c r="P45" s="4"/>
      <c r="Q45" s="4"/>
      <c r="R45" s="4"/>
      <c r="S45" s="4"/>
      <c r="T45" s="4"/>
      <c r="U45" s="4"/>
      <c r="V45" s="4"/>
      <c r="W45" s="4"/>
      <c r="X45" s="4"/>
      <c r="Y45" s="4"/>
      <c r="Z45" s="4"/>
    </row>
    <row r="46" spans="1:26">
      <c r="A46" s="5" t="s">
        <v>9</v>
      </c>
      <c r="B46" s="176">
        <f>SUMIFS(Staffing!$G$14:$G$29,Staffing!$B$14:$B$29,A46)+SUMIFS(Staffing!$G$36:$G$62,Staffing!$B$36:$B$62,A46)</f>
        <v>0</v>
      </c>
      <c r="C46" s="165">
        <f>SUMIFS(Staffing!$L$14:$L$29,Staffing!$B$14:$B$29,A46)+SUMIFS(Staffing!$L$36:$L$62,Staffing!$B$36:$B$62,A46)</f>
        <v>205000</v>
      </c>
      <c r="D46" s="165">
        <f>SUMIFS(Staffing!$Q$14:$Q$29,Staffing!$B$14:$B$29,A46)+SUMIFS(Staffing!$Q$36:$Q$62,Staffing!$B$36:$B$62,A46)</f>
        <v>255100</v>
      </c>
      <c r="E46" s="165">
        <f>SUMIFS(Staffing!$V$14:$V$29,Staffing!$B$14:$B$29,A46)+SUMIFS(Staffing!$V$36:$V$62,Staffing!$B$36:$B$62,A46)</f>
        <v>372147</v>
      </c>
      <c r="F46" s="165">
        <f>SUMIFS(Staffing!$AA$14:$AA$29,Staffing!$B$14:$B$29,A46)+SUMIFS(Staffing!$AA$36:$AA$62,Staffing!$B$36:$B$62,A46)</f>
        <v>379589.93999999994</v>
      </c>
      <c r="G46" s="166">
        <f>SUMIFS(Staffing!$AF$14:$AF$29,Staffing!$B$14:$B$29,A46)+SUMIFS(Staffing!$AF$36:$AF$62,Staffing!$B$36:$B$62,A46)</f>
        <v>334142.56296000001</v>
      </c>
      <c r="H46" s="167"/>
      <c r="I46" s="153"/>
      <c r="J46" s="67" t="s">
        <v>310</v>
      </c>
      <c r="K46" s="4"/>
      <c r="L46" s="4"/>
      <c r="M46" s="4"/>
      <c r="N46" s="4"/>
      <c r="O46" s="4"/>
      <c r="P46" s="4"/>
      <c r="Q46" s="4"/>
      <c r="R46" s="4"/>
      <c r="S46" s="4"/>
      <c r="T46" s="4"/>
      <c r="U46" s="4"/>
      <c r="V46" s="4"/>
      <c r="W46" s="4"/>
      <c r="X46" s="4"/>
      <c r="Y46" s="4"/>
      <c r="Z46" s="4"/>
    </row>
    <row r="47" spans="1:26">
      <c r="A47" s="4" t="s">
        <v>12</v>
      </c>
      <c r="B47" s="177">
        <f>SUMIFS(Staffing!$G$14:$G$29,Staffing!$B$14:$B$29,A47)+SUMIFS(Staffing!$G$36:$G$62,Staffing!$B$36:$B$62,A47)</f>
        <v>0</v>
      </c>
      <c r="C47" s="96">
        <f>SUMIFS(Staffing!$L$14:$L$29,Staffing!$B$14:$B$29,A47)+SUMIFS(Staffing!$L$36:$L$62,Staffing!$B$36:$B$62,A47)</f>
        <v>0</v>
      </c>
      <c r="D47" s="96">
        <f>SUMIFS(Staffing!$Q$14:$Q$29,Staffing!$B$14:$B$29,A47)+SUMIFS(Staffing!$Q$36:$Q$62,Staffing!$B$36:$B$62,A47)</f>
        <v>0</v>
      </c>
      <c r="E47" s="96">
        <f>SUMIFS(Staffing!$V$14:$V$29,Staffing!$B$14:$B$29,A47)+SUMIFS(Staffing!$V$36:$V$62,Staffing!$B$36:$B$62,A47)</f>
        <v>0</v>
      </c>
      <c r="F47" s="96">
        <f>SUMIFS(Staffing!$AA$14:$AA$29,Staffing!$B$14:$B$29,A47)+SUMIFS(Staffing!$AA$36:$AA$62,Staffing!$B$36:$B$62,A47)</f>
        <v>0</v>
      </c>
      <c r="G47" s="169">
        <f>SUMIFS(Staffing!$AF$14:$AF$29,Staffing!$B$14:$B$29,A47)+SUMIFS(Staffing!$AF$36:$AF$62,Staffing!$B$36:$B$62,A47)</f>
        <v>0</v>
      </c>
      <c r="H47" s="170"/>
      <c r="I47" s="153"/>
      <c r="J47" s="67" t="s">
        <v>310</v>
      </c>
      <c r="K47" s="4"/>
      <c r="L47" s="4"/>
      <c r="M47" s="4"/>
      <c r="N47" s="4"/>
      <c r="O47" s="4"/>
      <c r="P47" s="4"/>
      <c r="Q47" s="4"/>
      <c r="R47" s="4"/>
      <c r="S47" s="4"/>
      <c r="T47" s="4"/>
      <c r="U47" s="4"/>
      <c r="V47" s="4"/>
      <c r="W47" s="4"/>
      <c r="X47" s="4"/>
      <c r="Y47" s="4"/>
      <c r="Z47" s="4"/>
    </row>
    <row r="48" spans="1:26">
      <c r="A48" s="4" t="s">
        <v>11</v>
      </c>
      <c r="B48" s="177">
        <f>SUMIFS(Staffing!$G$14:$G$29,Staffing!$B$14:$B$29,A48)</f>
        <v>0</v>
      </c>
      <c r="C48" s="96">
        <f>SUMIFS(Staffing!$L$14:$L$29,Staffing!$B$14:$B$29,A48)</f>
        <v>15200</v>
      </c>
      <c r="D48" s="96">
        <f>SUMIFS(Staffing!$Q$14:$Q$29,Staffing!$B$14:$B$29,A48)</f>
        <v>38760</v>
      </c>
      <c r="E48" s="96">
        <f>SUMIFS(Staffing!$V$14:$V$29,Staffing!$B$14:$B$29,A48)</f>
        <v>39535.199999999997</v>
      </c>
      <c r="F48" s="96">
        <f>SUMIFS(Staffing!$AA$14:$AA$29,Staffing!$B$14:$B$29,A48)</f>
        <v>91325.903999999995</v>
      </c>
      <c r="G48" s="169">
        <f>SUMIFS(Staffing!$AF$14:$AF$29,Staffing!$B$14:$B$29,A48)</f>
        <v>93152.422079999989</v>
      </c>
      <c r="H48" s="170"/>
      <c r="I48" s="153"/>
      <c r="J48" s="67" t="s">
        <v>310</v>
      </c>
      <c r="K48" s="4"/>
      <c r="L48" s="4"/>
      <c r="M48" s="4"/>
      <c r="N48" s="4"/>
      <c r="O48" s="4"/>
      <c r="P48" s="4"/>
      <c r="Q48" s="4"/>
      <c r="R48" s="4"/>
      <c r="S48" s="4"/>
      <c r="T48" s="4"/>
      <c r="U48" s="4"/>
      <c r="V48" s="4"/>
      <c r="W48" s="4"/>
      <c r="X48" s="4"/>
      <c r="Y48" s="4"/>
      <c r="Z48" s="4"/>
    </row>
    <row r="49" spans="1:26">
      <c r="A49" s="4" t="s">
        <v>13</v>
      </c>
      <c r="B49" s="177">
        <f>SUMIFS(Staffing!$G$14:$G$29,Staffing!$B$14:$B$29,A49)</f>
        <v>0</v>
      </c>
      <c r="C49" s="96">
        <f>SUMIFS(Staffing!$L$14:$L$29,Staffing!$B$14:$B$29,A49)</f>
        <v>147760</v>
      </c>
      <c r="D49" s="96">
        <f>SUMIFS(Staffing!$Q$14:$Q$29,Staffing!$B$14:$B$29,A49)</f>
        <v>226154.4</v>
      </c>
      <c r="E49" s="96">
        <f>SUMIFS(Staffing!$V$14:$V$29,Staffing!$B$14:$B$29,A49)</f>
        <v>319902.19200000004</v>
      </c>
      <c r="F49" s="96">
        <f>SUMIFS(Staffing!$AA$14:$AA$29,Staffing!$B$14:$B$29,A49)</f>
        <v>351769.22784000007</v>
      </c>
      <c r="G49" s="169">
        <f>SUMIFS(Staffing!$AF$14:$AF$29,Staffing!$B$14:$B$29,A49)</f>
        <v>337155.96919680003</v>
      </c>
      <c r="H49" s="170"/>
      <c r="I49" s="153"/>
      <c r="J49" s="67" t="s">
        <v>310</v>
      </c>
      <c r="K49" s="4"/>
      <c r="L49" s="4"/>
      <c r="M49" s="4"/>
      <c r="N49" s="4"/>
      <c r="O49" s="4"/>
      <c r="P49" s="4"/>
      <c r="Q49" s="4"/>
      <c r="R49" s="4"/>
      <c r="S49" s="4"/>
      <c r="T49" s="4"/>
      <c r="U49" s="4"/>
      <c r="V49" s="4"/>
      <c r="W49" s="4"/>
      <c r="X49" s="4"/>
      <c r="Y49" s="4"/>
      <c r="Z49" s="4"/>
    </row>
    <row r="50" spans="1:26">
      <c r="A50" s="12" t="s">
        <v>311</v>
      </c>
      <c r="B50" s="178">
        <f>Staffing!C30</f>
        <v>0</v>
      </c>
      <c r="C50" s="172">
        <f>Staffing!H30</f>
        <v>11.4</v>
      </c>
      <c r="D50" s="172">
        <f>Staffing!M30</f>
        <v>18</v>
      </c>
      <c r="E50" s="172">
        <f>Staffing!R30</f>
        <v>24</v>
      </c>
      <c r="F50" s="172">
        <f>Staffing!W30</f>
        <v>27</v>
      </c>
      <c r="G50" s="173">
        <f>Staffing!AB30</f>
        <v>25</v>
      </c>
      <c r="H50" s="174"/>
      <c r="I50" s="153"/>
      <c r="J50" s="67" t="s">
        <v>314</v>
      </c>
      <c r="K50" s="4"/>
      <c r="L50" s="4"/>
      <c r="M50" s="4"/>
      <c r="N50" s="4"/>
      <c r="O50" s="4"/>
      <c r="P50" s="4"/>
      <c r="Q50" s="4"/>
      <c r="R50" s="4"/>
      <c r="S50" s="4"/>
      <c r="T50" s="4"/>
      <c r="U50" s="4"/>
      <c r="V50" s="4"/>
      <c r="W50" s="4"/>
      <c r="X50" s="4"/>
      <c r="Y50" s="4"/>
      <c r="Z50" s="4"/>
    </row>
    <row r="51" spans="1:26">
      <c r="A51" s="48"/>
      <c r="B51" s="154"/>
      <c r="C51" s="4"/>
      <c r="D51" s="4"/>
      <c r="E51" s="4"/>
      <c r="F51" s="4"/>
      <c r="G51" s="175"/>
      <c r="H51" s="175"/>
      <c r="I51" s="175"/>
      <c r="J51" s="67"/>
      <c r="K51" s="4"/>
      <c r="L51" s="4"/>
      <c r="M51" s="4"/>
      <c r="N51" s="4"/>
      <c r="O51" s="4"/>
      <c r="P51" s="4"/>
      <c r="Q51" s="4"/>
      <c r="R51" s="4"/>
      <c r="S51" s="4"/>
      <c r="T51" s="4"/>
      <c r="U51" s="4"/>
      <c r="V51" s="4"/>
      <c r="W51" s="4"/>
      <c r="X51" s="4"/>
      <c r="Y51" s="4"/>
      <c r="Z51" s="4"/>
    </row>
    <row r="52" spans="1:26">
      <c r="A52" s="318" t="s">
        <v>315</v>
      </c>
      <c r="B52" s="316"/>
      <c r="C52" s="316"/>
      <c r="D52" s="316"/>
      <c r="E52" s="316"/>
      <c r="F52" s="316"/>
      <c r="G52" s="316"/>
      <c r="H52" s="316"/>
      <c r="I52" s="297"/>
      <c r="J52" s="67"/>
      <c r="K52" s="4"/>
      <c r="L52" s="4"/>
      <c r="M52" s="4"/>
      <c r="N52" s="4"/>
      <c r="O52" s="4"/>
      <c r="P52" s="4"/>
      <c r="Q52" s="4"/>
      <c r="R52" s="4"/>
      <c r="S52" s="4"/>
      <c r="T52" s="4"/>
      <c r="U52" s="4"/>
      <c r="V52" s="4"/>
      <c r="W52" s="4"/>
      <c r="X52" s="4"/>
      <c r="Y52" s="4"/>
      <c r="Z52" s="4"/>
    </row>
    <row r="53" spans="1:26">
      <c r="A53" s="5" t="s">
        <v>176</v>
      </c>
      <c r="B53" s="179"/>
      <c r="C53" s="150">
        <v>15000</v>
      </c>
      <c r="D53" s="150">
        <v>48000</v>
      </c>
      <c r="E53" s="150">
        <v>52000</v>
      </c>
      <c r="F53" s="150">
        <v>58000</v>
      </c>
      <c r="G53" s="180">
        <v>61000</v>
      </c>
      <c r="H53" s="181"/>
      <c r="I53" s="153" t="s">
        <v>462</v>
      </c>
      <c r="J53" s="67" t="s">
        <v>316</v>
      </c>
      <c r="K53" s="4"/>
      <c r="L53" s="4"/>
      <c r="M53" s="4"/>
      <c r="N53" s="4"/>
      <c r="O53" s="4"/>
      <c r="P53" s="4"/>
      <c r="Q53" s="4"/>
      <c r="R53" s="4"/>
      <c r="S53" s="4"/>
      <c r="T53" s="4"/>
      <c r="U53" s="4"/>
      <c r="V53" s="4"/>
      <c r="W53" s="4"/>
      <c r="X53" s="4"/>
      <c r="Y53" s="4"/>
      <c r="Z53" s="4"/>
    </row>
    <row r="54" spans="1:26">
      <c r="A54" s="4" t="s">
        <v>177</v>
      </c>
      <c r="B54" s="45"/>
      <c r="C54" s="156">
        <f>3*12*5*175</f>
        <v>31500</v>
      </c>
      <c r="D54" s="156">
        <f>3*12*5*175</f>
        <v>31500</v>
      </c>
      <c r="E54" s="156">
        <f>3*12*5*175</f>
        <v>31500</v>
      </c>
      <c r="F54" s="156">
        <f>3*12*5*175</f>
        <v>31500</v>
      </c>
      <c r="G54" s="182">
        <v>31500</v>
      </c>
      <c r="H54" s="183"/>
      <c r="I54" s="153" t="s">
        <v>463</v>
      </c>
      <c r="J54" s="67" t="s">
        <v>316</v>
      </c>
      <c r="K54" s="4"/>
      <c r="L54" s="4"/>
      <c r="M54" s="4"/>
      <c r="N54" s="4"/>
      <c r="O54" s="4"/>
      <c r="P54" s="4"/>
      <c r="Q54" s="4"/>
      <c r="R54" s="4"/>
      <c r="S54" s="4"/>
      <c r="T54" s="4"/>
      <c r="U54" s="4"/>
      <c r="V54" s="4"/>
      <c r="W54" s="4"/>
      <c r="X54" s="4"/>
      <c r="Y54" s="4"/>
      <c r="Z54" s="4"/>
    </row>
    <row r="55" spans="1:26">
      <c r="A55" s="9" t="s">
        <v>317</v>
      </c>
      <c r="B55" s="44"/>
      <c r="C55" s="184">
        <v>10</v>
      </c>
      <c r="D55" s="184">
        <v>10</v>
      </c>
      <c r="E55" s="184">
        <v>10</v>
      </c>
      <c r="F55" s="184">
        <v>10</v>
      </c>
      <c r="G55" s="185">
        <v>10</v>
      </c>
      <c r="H55" s="186"/>
      <c r="I55" s="153"/>
      <c r="J55" s="67" t="s">
        <v>318</v>
      </c>
      <c r="K55" s="4"/>
      <c r="L55" s="4"/>
      <c r="M55" s="4"/>
      <c r="N55" s="4"/>
      <c r="O55" s="4"/>
      <c r="P55" s="4"/>
      <c r="Q55" s="4"/>
      <c r="R55" s="4"/>
      <c r="S55" s="4"/>
      <c r="T55" s="4"/>
      <c r="U55" s="4"/>
      <c r="V55" s="4"/>
      <c r="W55" s="4"/>
      <c r="X55" s="4"/>
      <c r="Y55" s="4"/>
      <c r="Z55" s="4"/>
    </row>
    <row r="56" spans="1:26">
      <c r="A56" s="9" t="s">
        <v>319</v>
      </c>
      <c r="B56" s="44"/>
      <c r="C56" s="187">
        <f>SUMIFS(Staffing!$H$36:$H$62,Staffing!B36:$B$62,Staffing!$A$5)</f>
        <v>27</v>
      </c>
      <c r="D56" s="187">
        <f>SUMIFS(Staffing!$M$36:$M$62,Staffing!$B$36:$B$62,Staffing!$A$5)</f>
        <v>41</v>
      </c>
      <c r="E56" s="187">
        <f>SUMIFS(Staffing!$R$36:$R$62,Staffing!$B$36:$B$62,Staffing!$A$5)</f>
        <v>55</v>
      </c>
      <c r="F56" s="187">
        <f>SUMIFS(Staffing!$W$36:$W$62,Staffing!$B$36:$B$62,Staffing!$A$5)</f>
        <v>58</v>
      </c>
      <c r="G56" s="187">
        <f>SUMIFS(Staffing!$AB$36:$AB$62,Staffing!$B$36:$B$62,Staffing!$A$5)</f>
        <v>60</v>
      </c>
      <c r="H56" s="186"/>
      <c r="I56" s="153"/>
      <c r="J56" s="67" t="s">
        <v>320</v>
      </c>
      <c r="K56" s="4"/>
      <c r="L56" s="4"/>
      <c r="M56" s="4"/>
      <c r="N56" s="4"/>
      <c r="O56" s="4"/>
      <c r="P56" s="4"/>
      <c r="Q56" s="4"/>
      <c r="R56" s="4"/>
      <c r="S56" s="4"/>
      <c r="T56" s="4"/>
      <c r="U56" s="4"/>
      <c r="V56" s="4"/>
      <c r="W56" s="4"/>
      <c r="X56" s="4"/>
      <c r="Y56" s="4"/>
      <c r="Z56" s="4"/>
    </row>
    <row r="57" spans="1:26">
      <c r="A57" s="12" t="s">
        <v>321</v>
      </c>
      <c r="B57" s="188"/>
      <c r="C57" s="160">
        <v>90</v>
      </c>
      <c r="D57" s="160">
        <v>90</v>
      </c>
      <c r="E57" s="160">
        <v>90</v>
      </c>
      <c r="F57" s="160">
        <v>90</v>
      </c>
      <c r="G57" s="189">
        <v>90</v>
      </c>
      <c r="H57" s="190"/>
      <c r="I57" s="153"/>
      <c r="J57" s="67" t="s">
        <v>322</v>
      </c>
      <c r="K57" s="4"/>
      <c r="L57" s="4"/>
      <c r="M57" s="4"/>
      <c r="N57" s="4"/>
      <c r="O57" s="4"/>
      <c r="P57" s="4"/>
      <c r="Q57" s="4"/>
      <c r="R57" s="4"/>
      <c r="S57" s="4"/>
      <c r="T57" s="4"/>
      <c r="U57" s="4"/>
      <c r="V57" s="4"/>
      <c r="W57" s="4"/>
      <c r="X57" s="4"/>
      <c r="Y57" s="4"/>
      <c r="Z57" s="4"/>
    </row>
    <row r="58" spans="1:26">
      <c r="A58" s="48"/>
      <c r="B58" s="154"/>
      <c r="C58" s="4"/>
      <c r="D58" s="4"/>
      <c r="E58" s="4"/>
      <c r="F58" s="4"/>
      <c r="G58" s="175"/>
      <c r="H58" s="175"/>
      <c r="I58" s="175"/>
      <c r="J58" s="67"/>
      <c r="K58" s="4"/>
      <c r="L58" s="4"/>
      <c r="M58" s="4"/>
      <c r="N58" s="4"/>
      <c r="O58" s="4"/>
      <c r="P58" s="4"/>
      <c r="Q58" s="4"/>
      <c r="R58" s="4"/>
      <c r="S58" s="4"/>
      <c r="T58" s="4"/>
      <c r="U58" s="4"/>
      <c r="V58" s="4"/>
      <c r="W58" s="4"/>
      <c r="X58" s="4"/>
      <c r="Y58" s="4"/>
      <c r="Z58" s="4"/>
    </row>
    <row r="59" spans="1:26">
      <c r="A59" s="191" t="s">
        <v>180</v>
      </c>
      <c r="B59" s="318"/>
      <c r="C59" s="316"/>
      <c r="D59" s="316"/>
      <c r="E59" s="316"/>
      <c r="F59" s="316"/>
      <c r="G59" s="316"/>
      <c r="H59" s="316"/>
      <c r="I59" s="297"/>
      <c r="J59" s="67"/>
      <c r="K59" s="4"/>
      <c r="L59" s="4"/>
      <c r="M59" s="4"/>
      <c r="N59" s="4"/>
      <c r="O59" s="4"/>
      <c r="P59" s="4"/>
      <c r="Q59" s="4"/>
      <c r="R59" s="4"/>
      <c r="S59" s="4"/>
      <c r="T59" s="4"/>
      <c r="U59" s="4"/>
      <c r="V59" s="4"/>
      <c r="W59" s="4"/>
      <c r="X59" s="4"/>
      <c r="Y59" s="4"/>
      <c r="Z59" s="4"/>
    </row>
    <row r="60" spans="1:26">
      <c r="A60" s="192" t="s">
        <v>181</v>
      </c>
      <c r="B60" s="193">
        <v>0.20150000000000001</v>
      </c>
      <c r="C60" s="193">
        <v>0.20150000000000001</v>
      </c>
      <c r="D60" s="193">
        <v>0.20150000000000001</v>
      </c>
      <c r="E60" s="193">
        <v>0.20150000000000001</v>
      </c>
      <c r="F60" s="193">
        <v>0.20150000000000001</v>
      </c>
      <c r="G60" s="194">
        <v>0.20150000000000001</v>
      </c>
      <c r="H60" s="195"/>
      <c r="I60" s="153"/>
      <c r="J60" s="196" t="s">
        <v>323</v>
      </c>
      <c r="K60" s="4"/>
      <c r="L60" s="4"/>
      <c r="M60" s="4"/>
      <c r="N60" s="4"/>
      <c r="O60" s="4"/>
      <c r="P60" s="4"/>
      <c r="Q60" s="4"/>
      <c r="R60" s="4"/>
      <c r="S60" s="4"/>
      <c r="T60" s="4"/>
      <c r="U60" s="4"/>
      <c r="V60" s="4"/>
      <c r="W60" s="4"/>
      <c r="X60" s="4"/>
      <c r="Y60" s="4"/>
      <c r="Z60" s="4"/>
    </row>
    <row r="61" spans="1:26">
      <c r="A61" s="197" t="s">
        <v>182</v>
      </c>
      <c r="B61" s="198">
        <v>1.4500000000000001E-2</v>
      </c>
      <c r="C61" s="97">
        <v>1.4500000000000001E-2</v>
      </c>
      <c r="D61" s="97">
        <v>1.4500000000000001E-2</v>
      </c>
      <c r="E61" s="97">
        <v>1.4500000000000001E-2</v>
      </c>
      <c r="F61" s="97">
        <v>1.4500000000000001E-2</v>
      </c>
      <c r="G61" s="199">
        <v>1.4500000000000001E-2</v>
      </c>
      <c r="H61" s="200"/>
      <c r="I61" s="153"/>
      <c r="J61" s="67" t="s">
        <v>324</v>
      </c>
      <c r="K61" s="4"/>
      <c r="L61" s="4"/>
      <c r="M61" s="4"/>
      <c r="N61" s="4"/>
      <c r="O61" s="4"/>
      <c r="P61" s="4"/>
      <c r="Q61" s="4"/>
      <c r="R61" s="4"/>
      <c r="S61" s="4"/>
      <c r="T61" s="4"/>
      <c r="U61" s="4"/>
      <c r="V61" s="4"/>
      <c r="W61" s="4"/>
      <c r="X61" s="4"/>
      <c r="Y61" s="4"/>
      <c r="Z61" s="4"/>
    </row>
    <row r="62" spans="1:26">
      <c r="A62" s="9" t="s">
        <v>183</v>
      </c>
      <c r="B62" s="201">
        <v>0</v>
      </c>
      <c r="C62" s="156">
        <v>3700</v>
      </c>
      <c r="D62" s="156">
        <v>3700</v>
      </c>
      <c r="E62" s="156">
        <v>3700</v>
      </c>
      <c r="F62" s="156">
        <v>3700</v>
      </c>
      <c r="G62" s="156">
        <v>3700</v>
      </c>
      <c r="H62" s="170"/>
      <c r="I62" s="153"/>
      <c r="J62" s="67" t="s">
        <v>325</v>
      </c>
      <c r="K62" s="4"/>
      <c r="L62" s="4"/>
      <c r="M62" s="4"/>
      <c r="N62" s="4"/>
      <c r="O62" s="4"/>
      <c r="P62" s="4"/>
      <c r="Q62" s="4"/>
      <c r="R62" s="4"/>
      <c r="S62" s="4"/>
      <c r="T62" s="4"/>
      <c r="U62" s="4"/>
      <c r="V62" s="4"/>
      <c r="W62" s="4"/>
      <c r="X62" s="4"/>
      <c r="Y62" s="4"/>
      <c r="Z62" s="4"/>
    </row>
    <row r="63" spans="1:26">
      <c r="A63" s="9" t="s">
        <v>184</v>
      </c>
      <c r="B63" s="201">
        <v>0</v>
      </c>
      <c r="C63" s="156">
        <v>225</v>
      </c>
      <c r="D63" s="156">
        <v>225</v>
      </c>
      <c r="E63" s="156">
        <v>225</v>
      </c>
      <c r="F63" s="156">
        <v>225</v>
      </c>
      <c r="G63" s="156">
        <v>225</v>
      </c>
      <c r="H63" s="170"/>
      <c r="I63" s="153"/>
      <c r="J63" s="67" t="s">
        <v>325</v>
      </c>
      <c r="K63" s="4"/>
      <c r="L63" s="4"/>
      <c r="M63" s="4"/>
      <c r="N63" s="4"/>
      <c r="O63" s="4"/>
      <c r="P63" s="4"/>
      <c r="Q63" s="4"/>
      <c r="R63" s="4"/>
      <c r="S63" s="4"/>
      <c r="T63" s="4"/>
      <c r="U63" s="4"/>
      <c r="V63" s="4"/>
      <c r="W63" s="4"/>
      <c r="X63" s="4"/>
      <c r="Y63" s="4"/>
      <c r="Z63" s="4"/>
    </row>
    <row r="64" spans="1:26">
      <c r="A64" s="9" t="s">
        <v>185</v>
      </c>
      <c r="B64" s="201">
        <v>0</v>
      </c>
      <c r="C64" s="156">
        <v>0</v>
      </c>
      <c r="D64" s="156">
        <v>0</v>
      </c>
      <c r="E64" s="156">
        <v>0</v>
      </c>
      <c r="F64" s="156">
        <v>0</v>
      </c>
      <c r="G64" s="156">
        <v>0</v>
      </c>
      <c r="H64" s="170"/>
      <c r="I64" s="153"/>
      <c r="J64" s="67" t="s">
        <v>325</v>
      </c>
      <c r="K64" s="4"/>
      <c r="L64" s="4"/>
      <c r="M64" s="4"/>
      <c r="N64" s="4"/>
      <c r="O64" s="4"/>
      <c r="P64" s="4"/>
      <c r="Q64" s="4"/>
      <c r="R64" s="4"/>
      <c r="S64" s="4"/>
      <c r="T64" s="4"/>
      <c r="U64" s="4"/>
      <c r="V64" s="4"/>
      <c r="W64" s="4"/>
      <c r="X64" s="4"/>
      <c r="Y64" s="4"/>
      <c r="Z64" s="4"/>
    </row>
    <row r="65" spans="1:26">
      <c r="A65" s="9" t="s">
        <v>186</v>
      </c>
      <c r="B65" s="201">
        <v>0</v>
      </c>
      <c r="C65" s="156">
        <v>50</v>
      </c>
      <c r="D65" s="156">
        <v>50</v>
      </c>
      <c r="E65" s="156">
        <v>50</v>
      </c>
      <c r="F65" s="156">
        <v>50</v>
      </c>
      <c r="G65" s="156">
        <v>50</v>
      </c>
      <c r="H65" s="170"/>
      <c r="I65" s="153"/>
      <c r="J65" s="67" t="s">
        <v>325</v>
      </c>
      <c r="K65" s="4"/>
      <c r="L65" s="4"/>
      <c r="M65" s="4"/>
      <c r="N65" s="4"/>
      <c r="O65" s="4"/>
      <c r="P65" s="4"/>
      <c r="Q65" s="4"/>
      <c r="R65" s="4"/>
      <c r="S65" s="4"/>
      <c r="T65" s="4"/>
      <c r="U65" s="4"/>
      <c r="V65" s="4"/>
      <c r="W65" s="4"/>
      <c r="X65" s="4"/>
      <c r="Y65" s="4"/>
      <c r="Z65" s="4"/>
    </row>
    <row r="66" spans="1:26">
      <c r="A66" s="12" t="s">
        <v>33</v>
      </c>
      <c r="B66" s="202">
        <v>0</v>
      </c>
      <c r="C66" s="160">
        <v>0</v>
      </c>
      <c r="D66" s="160">
        <v>0</v>
      </c>
      <c r="E66" s="160">
        <v>0</v>
      </c>
      <c r="F66" s="160">
        <v>0</v>
      </c>
      <c r="G66" s="160">
        <v>0</v>
      </c>
      <c r="H66" s="190"/>
      <c r="I66" s="153"/>
      <c r="J66" s="67" t="s">
        <v>325</v>
      </c>
      <c r="K66" s="4"/>
      <c r="L66" s="4"/>
      <c r="M66" s="4"/>
      <c r="N66" s="4"/>
      <c r="O66" s="4"/>
      <c r="P66" s="4"/>
      <c r="Q66" s="4"/>
      <c r="R66" s="4"/>
      <c r="S66" s="4"/>
      <c r="T66" s="4"/>
      <c r="U66" s="4"/>
      <c r="V66" s="4"/>
      <c r="W66" s="4"/>
      <c r="X66" s="4"/>
      <c r="Y66" s="4"/>
      <c r="Z66" s="4"/>
    </row>
    <row r="67" spans="1:26">
      <c r="A67" s="4"/>
      <c r="B67" s="4"/>
      <c r="C67" s="4"/>
      <c r="D67" s="96"/>
      <c r="E67" s="4"/>
      <c r="F67" s="4"/>
      <c r="G67" s="4"/>
      <c r="H67" s="4"/>
      <c r="I67" s="67"/>
      <c r="J67" s="67"/>
      <c r="K67" s="4"/>
      <c r="L67" s="4"/>
      <c r="M67" s="4"/>
      <c r="N67" s="4"/>
      <c r="O67" s="4"/>
      <c r="P67" s="4"/>
      <c r="Q67" s="4"/>
      <c r="R67" s="4"/>
      <c r="S67" s="4"/>
      <c r="T67" s="4"/>
      <c r="U67" s="4"/>
      <c r="V67" s="4"/>
      <c r="W67" s="4"/>
      <c r="X67" s="4"/>
      <c r="Y67" s="4"/>
      <c r="Z67" s="4"/>
    </row>
    <row r="68" spans="1:26">
      <c r="A68" s="318" t="s">
        <v>189</v>
      </c>
      <c r="B68" s="316"/>
      <c r="C68" s="316"/>
      <c r="D68" s="316"/>
      <c r="E68" s="316"/>
      <c r="F68" s="316"/>
      <c r="G68" s="316"/>
      <c r="H68" s="316"/>
      <c r="I68" s="297"/>
      <c r="J68" s="67"/>
      <c r="K68" s="4"/>
      <c r="L68" s="4"/>
      <c r="M68" s="4"/>
      <c r="N68" s="4"/>
      <c r="O68" s="4"/>
      <c r="P68" s="4"/>
      <c r="Q68" s="4"/>
      <c r="R68" s="4"/>
      <c r="S68" s="4"/>
      <c r="T68" s="4"/>
      <c r="U68" s="4"/>
      <c r="V68" s="4"/>
      <c r="W68" s="4"/>
      <c r="X68" s="4"/>
      <c r="Y68" s="4"/>
      <c r="Z68" s="4"/>
    </row>
    <row r="69" spans="1:26">
      <c r="A69" s="154" t="s">
        <v>58</v>
      </c>
      <c r="B69" s="155"/>
      <c r="C69" s="203">
        <f>'Purchased Services Master'!$B$3*C21</f>
        <v>20755.2</v>
      </c>
      <c r="D69" s="203">
        <f>'Purchased Services Master'!$B$3*D21</f>
        <v>31500.34</v>
      </c>
      <c r="E69" s="203">
        <f>'Purchased Services Master'!$B$3*E21</f>
        <v>41186.1</v>
      </c>
      <c r="F69" s="203">
        <f>'Purchased Services Master'!$B$3*F21</f>
        <v>43823.740000000005</v>
      </c>
      <c r="G69" s="203">
        <f>'Purchased Services Master'!$B$3*G21</f>
        <v>46158.700000000004</v>
      </c>
      <c r="H69" s="152"/>
      <c r="I69" s="153"/>
      <c r="J69" s="196" t="str">
        <f>CONCATENATE("$",'Purchased Services Master'!$B3," per FTE")</f>
        <v>$43.24 per FTE</v>
      </c>
      <c r="K69" s="4"/>
      <c r="L69" s="4"/>
      <c r="M69" s="4"/>
      <c r="N69" s="4"/>
      <c r="O69" s="4"/>
      <c r="P69" s="4"/>
      <c r="Q69" s="4"/>
      <c r="R69" s="4"/>
      <c r="S69" s="4"/>
      <c r="T69" s="4"/>
      <c r="U69" s="4"/>
      <c r="V69" s="4"/>
      <c r="W69" s="4"/>
      <c r="X69" s="4"/>
      <c r="Y69" s="4"/>
      <c r="Z69" s="4"/>
    </row>
    <row r="70" spans="1:26">
      <c r="A70" s="154" t="s">
        <v>59</v>
      </c>
      <c r="B70" s="155"/>
      <c r="C70" s="203">
        <f>'Purchased Services Master'!$B$4*C21</f>
        <v>1776</v>
      </c>
      <c r="D70" s="203">
        <f>'Purchased Services Master'!$B$4*D21</f>
        <v>2695.4500000000003</v>
      </c>
      <c r="E70" s="203">
        <f>'Purchased Services Master'!$B$4*E21</f>
        <v>3524.25</v>
      </c>
      <c r="F70" s="203">
        <f>'Purchased Services Master'!$B$4*F21</f>
        <v>3749.9500000000003</v>
      </c>
      <c r="G70" s="203">
        <f>'Purchased Services Master'!$B$4*G21</f>
        <v>3949.75</v>
      </c>
      <c r="H70" s="158"/>
      <c r="I70" s="153"/>
      <c r="J70" s="196" t="str">
        <f>CONCATENATE("$",'Purchased Services Master'!$B4," per FTE")</f>
        <v>$3.7 per FTE</v>
      </c>
      <c r="K70" s="4"/>
      <c r="L70" s="4"/>
      <c r="M70" s="4"/>
      <c r="N70" s="4"/>
      <c r="O70" s="4"/>
      <c r="P70" s="4"/>
      <c r="Q70" s="4"/>
      <c r="R70" s="4"/>
      <c r="S70" s="4"/>
      <c r="T70" s="4"/>
      <c r="U70" s="4"/>
      <c r="V70" s="4"/>
      <c r="W70" s="4"/>
      <c r="X70" s="4"/>
      <c r="Y70" s="4"/>
      <c r="Z70" s="4"/>
    </row>
    <row r="71" spans="1:26">
      <c r="A71" s="154" t="s">
        <v>190</v>
      </c>
      <c r="B71" s="155"/>
      <c r="C71" s="203">
        <f>'Purchased Services Master'!$B$5*C21</f>
        <v>4291.2</v>
      </c>
      <c r="D71" s="203">
        <f>'Purchased Services Master'!$B$5*D21</f>
        <v>6512.79</v>
      </c>
      <c r="E71" s="203">
        <f>'Purchased Services Master'!$B$5*E21</f>
        <v>8515.35</v>
      </c>
      <c r="F71" s="203">
        <f>'Purchased Services Master'!$B$5*F21</f>
        <v>9060.6899999999987</v>
      </c>
      <c r="G71" s="203">
        <f>'Purchased Services Master'!$B$5*G21</f>
        <v>9543.4499999999989</v>
      </c>
      <c r="H71" s="158"/>
      <c r="I71" s="153"/>
      <c r="J71" s="196" t="str">
        <f>CONCATENATE("$",'Purchased Services Master'!$B5," per FTE")</f>
        <v>$8.94 per FTE</v>
      </c>
      <c r="K71" s="4"/>
      <c r="L71" s="4"/>
      <c r="M71" s="4"/>
      <c r="N71" s="4"/>
      <c r="O71" s="4"/>
      <c r="P71" s="4"/>
      <c r="Q71" s="4"/>
      <c r="R71" s="4"/>
      <c r="S71" s="4"/>
      <c r="T71" s="4"/>
      <c r="U71" s="4"/>
      <c r="V71" s="4"/>
      <c r="W71" s="4"/>
      <c r="X71" s="4"/>
      <c r="Y71" s="4"/>
      <c r="Z71" s="4"/>
    </row>
    <row r="72" spans="1:26" ht="30" customHeight="1">
      <c r="A72" s="204" t="s">
        <v>191</v>
      </c>
      <c r="B72" s="155"/>
      <c r="C72" s="203">
        <f>'Purchased Services Master'!$B$6*C21</f>
        <v>6960</v>
      </c>
      <c r="D72" s="203">
        <f>'Purchased Services Master'!$B$6*D21</f>
        <v>10563.25</v>
      </c>
      <c r="E72" s="203">
        <f>'Purchased Services Master'!$B$6*E21</f>
        <v>13811.25</v>
      </c>
      <c r="F72" s="203">
        <f>'Purchased Services Master'!$B$6*F21</f>
        <v>14695.75</v>
      </c>
      <c r="G72" s="203">
        <f>'Purchased Services Master'!$B$6*G21</f>
        <v>15478.75</v>
      </c>
      <c r="H72" s="158"/>
      <c r="I72" s="153"/>
      <c r="J72" s="196" t="str">
        <f>CONCATENATE("$",'Purchased Services Master'!$B6," per FTE")</f>
        <v>$14.5 per FTE</v>
      </c>
      <c r="K72" s="4"/>
      <c r="L72" s="4"/>
      <c r="M72" s="4"/>
      <c r="N72" s="4"/>
      <c r="O72" s="4"/>
      <c r="P72" s="4"/>
      <c r="Q72" s="4"/>
      <c r="R72" s="4"/>
      <c r="S72" s="4"/>
      <c r="T72" s="4"/>
      <c r="U72" s="4"/>
      <c r="V72" s="4"/>
      <c r="W72" s="4"/>
      <c r="X72" s="4"/>
      <c r="Y72" s="4"/>
      <c r="Z72" s="4"/>
    </row>
    <row r="73" spans="1:26">
      <c r="A73" s="154" t="s">
        <v>62</v>
      </c>
      <c r="B73" s="155"/>
      <c r="C73" s="203">
        <f>'Purchased Services Master'!$B$7*C21</f>
        <v>3715.2000000000003</v>
      </c>
      <c r="D73" s="203">
        <f>'Purchased Services Master'!$B$7*D21</f>
        <v>5638.59</v>
      </c>
      <c r="E73" s="203">
        <f>'Purchased Services Master'!$B$7*E21</f>
        <v>7372.35</v>
      </c>
      <c r="F73" s="203">
        <f>'Purchased Services Master'!$B$7*F21</f>
        <v>7844.49</v>
      </c>
      <c r="G73" s="203">
        <f>'Purchased Services Master'!$B$7*G21</f>
        <v>8262.4500000000007</v>
      </c>
      <c r="H73" s="158"/>
      <c r="I73" s="153"/>
      <c r="J73" s="196" t="str">
        <f>CONCATENATE("$",'Purchased Services Master'!$B7," per FTE")</f>
        <v>$7.74 per FTE</v>
      </c>
      <c r="K73" s="4"/>
      <c r="L73" s="4"/>
      <c r="M73" s="4"/>
      <c r="N73" s="4"/>
      <c r="O73" s="4"/>
      <c r="P73" s="4"/>
      <c r="Q73" s="4"/>
      <c r="R73" s="4"/>
      <c r="S73" s="4"/>
      <c r="T73" s="4"/>
      <c r="U73" s="4"/>
      <c r="V73" s="4"/>
      <c r="W73" s="4"/>
      <c r="X73" s="4"/>
      <c r="Y73" s="4"/>
      <c r="Z73" s="4"/>
    </row>
    <row r="74" spans="1:26">
      <c r="A74" s="154" t="s">
        <v>63</v>
      </c>
      <c r="B74" s="155"/>
      <c r="C74" s="203">
        <f>'Purchased Services Master'!$C$8*Staffing!$H$65*'Purchased Services Master'!$D$8</f>
        <v>249.27975000000001</v>
      </c>
      <c r="D74" s="203">
        <f>'Purchased Services Master'!$C$8*Staffing!$M$65*'Purchased Services Master'!$D$8</f>
        <v>391.38125000000002</v>
      </c>
      <c r="E74" s="203">
        <f>'Purchased Services Master'!$C$8*Staffing!$R$65*'Purchased Services Master'!$D$8</f>
        <v>517.82749999999999</v>
      </c>
      <c r="F74" s="203">
        <f>'Purchased Services Master'!$C$8*Staffing!$W$65*'Purchased Services Master'!$D$8</f>
        <v>559.97625000000005</v>
      </c>
      <c r="G74" s="203">
        <f>'Purchased Services Master'!$C$8*Staffing!$AB$65*'Purchased Services Master'!$D$8</f>
        <v>559.97625000000005</v>
      </c>
      <c r="H74" s="158"/>
      <c r="I74" s="153"/>
      <c r="J74" s="205" t="str">
        <f>'Purchased Services Master'!B8</f>
        <v>Contingent Worker Fee at 0.125 (x FTEmployee) x $48.17</v>
      </c>
      <c r="K74" s="4"/>
      <c r="L74" s="4"/>
      <c r="M74" s="4"/>
      <c r="N74" s="4"/>
      <c r="O74" s="4"/>
      <c r="P74" s="4"/>
      <c r="Q74" s="4"/>
      <c r="R74" s="4"/>
      <c r="S74" s="4"/>
      <c r="T74" s="4"/>
      <c r="U74" s="4"/>
      <c r="V74" s="4"/>
      <c r="W74" s="4"/>
      <c r="X74" s="4"/>
      <c r="Y74" s="4"/>
      <c r="Z74" s="4"/>
    </row>
    <row r="75" spans="1:26">
      <c r="A75" s="154" t="s">
        <v>65</v>
      </c>
      <c r="B75" s="155"/>
      <c r="C75" s="203">
        <v>0</v>
      </c>
      <c r="D75" s="203">
        <v>0</v>
      </c>
      <c r="E75" s="203">
        <v>0</v>
      </c>
      <c r="F75" s="203">
        <v>0</v>
      </c>
      <c r="G75" s="203">
        <v>0</v>
      </c>
      <c r="H75" s="206"/>
      <c r="I75" s="153"/>
      <c r="J75" s="196" t="s">
        <v>326</v>
      </c>
      <c r="K75" s="4"/>
      <c r="L75" s="4"/>
      <c r="M75" s="4"/>
      <c r="N75" s="4"/>
      <c r="O75" s="4"/>
      <c r="P75" s="4"/>
      <c r="Q75" s="4"/>
      <c r="R75" s="4"/>
      <c r="S75" s="4"/>
      <c r="T75" s="4"/>
      <c r="U75" s="4"/>
      <c r="V75" s="4"/>
      <c r="W75" s="4"/>
      <c r="X75" s="4"/>
      <c r="Y75" s="4"/>
      <c r="Z75" s="4"/>
    </row>
    <row r="76" spans="1:26">
      <c r="A76" s="154" t="s">
        <v>192</v>
      </c>
      <c r="B76" s="155"/>
      <c r="C76" s="207"/>
      <c r="D76" s="203">
        <f>$B$37*'Purchased Services Master'!$C$11</f>
        <v>0</v>
      </c>
      <c r="E76" s="203">
        <f>$B$37*'Purchased Services Master'!$C$11</f>
        <v>0</v>
      </c>
      <c r="F76" s="207"/>
      <c r="G76" s="207"/>
      <c r="H76" s="206"/>
      <c r="I76" s="153"/>
      <c r="J76" s="208" t="str">
        <f>'Purchased Services Master'!B11</f>
        <v>3% Administration Fee in Year 2 and 3</v>
      </c>
      <c r="K76" s="4"/>
      <c r="L76" s="4"/>
      <c r="M76" s="4"/>
      <c r="N76" s="4"/>
      <c r="O76" s="4"/>
      <c r="P76" s="4"/>
      <c r="Q76" s="4"/>
      <c r="R76" s="4"/>
      <c r="S76" s="4"/>
      <c r="T76" s="4"/>
      <c r="U76" s="4"/>
      <c r="V76" s="4"/>
      <c r="W76" s="4"/>
      <c r="X76" s="4"/>
      <c r="Y76" s="4"/>
      <c r="Z76" s="4"/>
    </row>
    <row r="77" spans="1:26">
      <c r="A77" s="209" t="s">
        <v>49</v>
      </c>
      <c r="B77" s="210"/>
      <c r="C77" s="211">
        <f>'Purchased Services Master'!$B$10*C21+'Purchased Services Master'!$B$69</f>
        <v>150500</v>
      </c>
      <c r="D77" s="211">
        <f>'Purchased Services Master'!$B$10*D21</f>
        <v>218550</v>
      </c>
      <c r="E77" s="211">
        <f>'Purchased Services Master'!$B$10*E21</f>
        <v>285750</v>
      </c>
      <c r="F77" s="211">
        <f>'Purchased Services Master'!$B$10*F21</f>
        <v>304050</v>
      </c>
      <c r="G77" s="211">
        <f>'Purchased Services Master'!$B$10*G21</f>
        <v>320250</v>
      </c>
      <c r="H77" s="161"/>
      <c r="I77" s="153"/>
      <c r="J77" s="196" t="str">
        <f>CONCATENATE("$",'Purchased Services Master'!$B10," per FTE")</f>
        <v>$300 per FTE</v>
      </c>
      <c r="K77" s="4"/>
      <c r="L77" s="4"/>
      <c r="M77" s="4"/>
      <c r="N77" s="4"/>
      <c r="O77" s="4"/>
      <c r="P77" s="4"/>
      <c r="Q77" s="4"/>
      <c r="R77" s="4"/>
      <c r="S77" s="4"/>
      <c r="T77" s="4"/>
      <c r="U77" s="4"/>
      <c r="V77" s="4"/>
      <c r="W77" s="4"/>
      <c r="X77" s="4"/>
      <c r="Y77" s="4"/>
      <c r="Z77" s="4"/>
    </row>
    <row r="78" spans="1:26">
      <c r="A78" s="9"/>
      <c r="B78" s="163"/>
      <c r="C78" s="93"/>
      <c r="D78" s="93"/>
      <c r="E78" s="93"/>
      <c r="F78" s="93"/>
      <c r="G78" s="212"/>
      <c r="H78" s="212"/>
      <c r="I78" s="213"/>
      <c r="J78" s="196" t="str">
        <f>CONCATENATE("$",'Purchased Services Master'!$B$69," for year 1 in addition to per FTE amount")</f>
        <v>$6500 for year 1 in addition to per FTE amount</v>
      </c>
      <c r="K78" s="4"/>
      <c r="L78" s="4"/>
      <c r="M78" s="4"/>
      <c r="N78" s="4"/>
      <c r="O78" s="4"/>
      <c r="P78" s="4"/>
      <c r="Q78" s="4"/>
      <c r="R78" s="4"/>
      <c r="S78" s="4"/>
      <c r="T78" s="4"/>
      <c r="U78" s="4"/>
      <c r="V78" s="4"/>
      <c r="W78" s="4"/>
      <c r="X78" s="4"/>
      <c r="Y78" s="4"/>
      <c r="Z78" s="4"/>
    </row>
    <row r="79" spans="1:26">
      <c r="A79" s="321" t="s">
        <v>194</v>
      </c>
      <c r="B79" s="299"/>
      <c r="C79" s="299"/>
      <c r="D79" s="299"/>
      <c r="E79" s="299"/>
      <c r="F79" s="299"/>
      <c r="G79" s="299"/>
      <c r="H79" s="299"/>
      <c r="I79" s="300"/>
      <c r="J79" s="67"/>
      <c r="K79" s="4"/>
      <c r="L79" s="4"/>
      <c r="M79" s="4"/>
      <c r="N79" s="4"/>
      <c r="O79" s="4"/>
      <c r="P79" s="4"/>
      <c r="Q79" s="4"/>
      <c r="R79" s="4"/>
      <c r="S79" s="4"/>
      <c r="T79" s="4"/>
      <c r="U79" s="4"/>
      <c r="V79" s="4"/>
      <c r="W79" s="4"/>
      <c r="X79" s="4"/>
      <c r="Y79" s="4"/>
      <c r="Z79" s="4"/>
    </row>
    <row r="80" spans="1:26">
      <c r="A80" s="148" t="s">
        <v>70</v>
      </c>
      <c r="B80" s="214">
        <v>0</v>
      </c>
      <c r="C80" s="214">
        <v>20000</v>
      </c>
      <c r="D80" s="214">
        <v>20000</v>
      </c>
      <c r="E80" s="214">
        <v>20000</v>
      </c>
      <c r="F80" s="214">
        <v>20000</v>
      </c>
      <c r="G80" s="214">
        <v>20000</v>
      </c>
      <c r="H80" s="215" t="s">
        <v>278</v>
      </c>
      <c r="I80" s="153"/>
      <c r="J80" s="208" t="str">
        <f>VLOOKUP(A80,'Purchased Services Master'!A:B,2,FALSE)</f>
        <v>Actual Cost</v>
      </c>
      <c r="K80" s="4"/>
      <c r="L80" s="4"/>
      <c r="M80" s="4"/>
      <c r="N80" s="4"/>
      <c r="O80" s="4"/>
      <c r="P80" s="4"/>
      <c r="Q80" s="4"/>
      <c r="R80" s="4"/>
      <c r="S80" s="4"/>
      <c r="T80" s="4"/>
      <c r="U80" s="4"/>
      <c r="V80" s="4"/>
      <c r="W80" s="4"/>
      <c r="X80" s="4"/>
      <c r="Y80" s="4"/>
      <c r="Z80" s="4"/>
    </row>
    <row r="81" spans="1:26">
      <c r="A81" s="154" t="s">
        <v>72</v>
      </c>
      <c r="B81" s="216">
        <v>0</v>
      </c>
      <c r="C81" s="216">
        <v>6600</v>
      </c>
      <c r="D81" s="216">
        <v>1900</v>
      </c>
      <c r="E81" s="216">
        <v>2160</v>
      </c>
      <c r="F81" s="216">
        <v>2400</v>
      </c>
      <c r="G81" s="216">
        <v>3000</v>
      </c>
      <c r="H81" s="217" t="s">
        <v>278</v>
      </c>
      <c r="I81" s="153"/>
      <c r="J81" s="208" t="str">
        <f>VLOOKUP(A81,'Purchased Services Master'!A:B,2,FALSE)</f>
        <v>Actual Cost</v>
      </c>
      <c r="K81" s="4"/>
      <c r="L81" s="4"/>
      <c r="M81" s="4"/>
      <c r="N81" s="4"/>
      <c r="O81" s="4"/>
      <c r="P81" s="4"/>
      <c r="Q81" s="4"/>
      <c r="R81" s="4"/>
      <c r="S81" s="4"/>
      <c r="T81" s="4"/>
      <c r="U81" s="4"/>
      <c r="V81" s="4"/>
      <c r="W81" s="4"/>
      <c r="X81" s="4"/>
      <c r="Y81" s="4"/>
      <c r="Z81" s="4"/>
    </row>
    <row r="82" spans="1:26">
      <c r="A82" s="154" t="s">
        <v>73</v>
      </c>
      <c r="B82" s="216">
        <v>0</v>
      </c>
      <c r="C82" s="216">
        <v>3000</v>
      </c>
      <c r="D82" s="216">
        <v>3000</v>
      </c>
      <c r="E82" s="216">
        <v>3000</v>
      </c>
      <c r="F82" s="216">
        <v>3000</v>
      </c>
      <c r="G82" s="216">
        <v>3000</v>
      </c>
      <c r="H82" s="217" t="s">
        <v>278</v>
      </c>
      <c r="I82" s="153"/>
      <c r="J82" s="208" t="str">
        <f>VLOOKUP(A82,'Purchased Services Master'!A:B,2,FALSE)</f>
        <v>Cost of Kit</v>
      </c>
      <c r="K82" s="4"/>
      <c r="L82" s="4"/>
      <c r="M82" s="4"/>
      <c r="N82" s="4"/>
      <c r="O82" s="4"/>
      <c r="P82" s="4"/>
      <c r="Q82" s="4"/>
      <c r="R82" s="4"/>
      <c r="S82" s="4"/>
      <c r="T82" s="4"/>
      <c r="U82" s="4"/>
      <c r="V82" s="4"/>
      <c r="W82" s="4"/>
      <c r="X82" s="4"/>
      <c r="Y82" s="4"/>
      <c r="Z82" s="4"/>
    </row>
    <row r="83" spans="1:26">
      <c r="A83" s="154" t="s">
        <v>75</v>
      </c>
      <c r="B83" s="216">
        <v>0</v>
      </c>
      <c r="C83" s="216">
        <v>8000</v>
      </c>
      <c r="D83" s="216">
        <v>10000</v>
      </c>
      <c r="E83" s="216">
        <v>12000</v>
      </c>
      <c r="F83" s="216">
        <v>14000</v>
      </c>
      <c r="G83" s="216">
        <v>16000</v>
      </c>
      <c r="H83" s="217" t="s">
        <v>278</v>
      </c>
      <c r="I83" s="153"/>
      <c r="J83" s="208" t="str">
        <f>VLOOKUP(A83,'Purchased Services Master'!A:B,2,FALSE)</f>
        <v>Actual Cost</v>
      </c>
      <c r="K83" s="4"/>
      <c r="L83" s="4"/>
      <c r="M83" s="4"/>
      <c r="N83" s="4"/>
      <c r="O83" s="4"/>
      <c r="P83" s="4"/>
      <c r="Q83" s="4"/>
      <c r="R83" s="4"/>
      <c r="S83" s="4"/>
      <c r="T83" s="4"/>
      <c r="U83" s="4"/>
      <c r="V83" s="4"/>
      <c r="W83" s="4"/>
      <c r="X83" s="4"/>
      <c r="Y83" s="4"/>
      <c r="Z83" s="4"/>
    </row>
    <row r="84" spans="1:26">
      <c r="A84" s="159" t="s">
        <v>76</v>
      </c>
      <c r="B84" s="211">
        <f>IF($H84="yes",'Purchased Services Master'!$C$19,0)</f>
        <v>0</v>
      </c>
      <c r="C84" s="211">
        <f>IF($H84="yes",'Purchased Services Master'!$C$19,IF($H84="yes - no year 0",'Purchased Services Master'!$C$19,0))</f>
        <v>0</v>
      </c>
      <c r="D84" s="211">
        <f>IF($H84="yes",'Purchased Services Master'!$C$19,IF($H84="yes - no year 0",'Purchased Services Master'!$C$19,0))</f>
        <v>0</v>
      </c>
      <c r="E84" s="211">
        <f>IF($H84="yes",'Purchased Services Master'!$C$19,IF($H84="yes - no year 0",'Purchased Services Master'!$C$19,0))</f>
        <v>0</v>
      </c>
      <c r="F84" s="211">
        <f>IF($H84="yes",'Purchased Services Master'!$C$19,IF($H84="yes - no year 0",'Purchased Services Master'!$C$19,0))</f>
        <v>0</v>
      </c>
      <c r="G84" s="218">
        <f>IF($H84="yes",'Purchased Services Master'!$C$19,IF($H84="yes - no year 0",'Purchased Services Master'!$C$19,0))</f>
        <v>0</v>
      </c>
      <c r="H84" s="219" t="s">
        <v>278</v>
      </c>
      <c r="I84" s="153"/>
      <c r="J84" s="208" t="str">
        <f>VLOOKUP(A84,'Purchased Services Master'!A:B,2,FALSE)</f>
        <v>$75 annually</v>
      </c>
      <c r="K84" s="4"/>
      <c r="L84" s="4"/>
      <c r="M84" s="4"/>
      <c r="N84" s="4"/>
      <c r="O84" s="4"/>
      <c r="P84" s="4"/>
      <c r="Q84" s="4"/>
      <c r="R84" s="4"/>
      <c r="S84" s="4"/>
      <c r="T84" s="4"/>
      <c r="U84" s="4"/>
      <c r="V84" s="4"/>
      <c r="W84" s="4"/>
      <c r="X84" s="4"/>
      <c r="Y84" s="4"/>
      <c r="Z84" s="4"/>
    </row>
    <row r="85" spans="1:26">
      <c r="A85" s="9"/>
      <c r="B85" s="198"/>
      <c r="C85" s="97"/>
      <c r="D85" s="97"/>
      <c r="E85" s="97"/>
      <c r="F85" s="97"/>
      <c r="G85" s="220"/>
      <c r="H85" s="220"/>
      <c r="I85" s="213"/>
      <c r="J85" s="67"/>
      <c r="K85" s="4"/>
      <c r="L85" s="4"/>
      <c r="M85" s="4"/>
      <c r="N85" s="4"/>
      <c r="O85" s="4"/>
      <c r="P85" s="4"/>
      <c r="Q85" s="4"/>
      <c r="R85" s="4"/>
      <c r="S85" s="4"/>
      <c r="T85" s="4"/>
      <c r="U85" s="4"/>
      <c r="V85" s="4"/>
      <c r="W85" s="4"/>
      <c r="X85" s="4"/>
      <c r="Y85" s="4"/>
      <c r="Z85" s="4"/>
    </row>
    <row r="86" spans="1:26">
      <c r="A86" s="314" t="s">
        <v>196</v>
      </c>
      <c r="B86" s="299"/>
      <c r="C86" s="299"/>
      <c r="D86" s="299"/>
      <c r="E86" s="299"/>
      <c r="F86" s="299"/>
      <c r="G86" s="299"/>
      <c r="H86" s="299"/>
      <c r="I86" s="300"/>
      <c r="J86" s="67"/>
      <c r="K86" s="4"/>
      <c r="L86" s="4"/>
      <c r="M86" s="4"/>
      <c r="N86" s="4"/>
      <c r="O86" s="4"/>
      <c r="P86" s="4"/>
      <c r="Q86" s="4"/>
      <c r="R86" s="4"/>
      <c r="S86" s="4"/>
      <c r="T86" s="4"/>
      <c r="U86" s="4"/>
      <c r="V86" s="4"/>
      <c r="W86" s="4"/>
      <c r="X86" s="4"/>
      <c r="Y86" s="4"/>
      <c r="Z86" s="4"/>
    </row>
    <row r="87" spans="1:26">
      <c r="A87" s="148" t="s">
        <v>79</v>
      </c>
      <c r="B87" s="214">
        <v>0</v>
      </c>
      <c r="C87" s="214">
        <v>0</v>
      </c>
      <c r="D87" s="214">
        <v>0</v>
      </c>
      <c r="E87" s="214">
        <v>0</v>
      </c>
      <c r="F87" s="214">
        <v>0</v>
      </c>
      <c r="G87" s="214">
        <v>0</v>
      </c>
      <c r="H87" s="215" t="s">
        <v>278</v>
      </c>
      <c r="I87" s="153"/>
      <c r="J87" s="208" t="str">
        <f>VLOOKUP(A87,'Purchased Services Master'!A:B,2,FALSE)</f>
        <v>3.49% processing fee to third party vendor</v>
      </c>
      <c r="K87" s="4"/>
      <c r="L87" s="4"/>
      <c r="M87" s="4"/>
      <c r="N87" s="4"/>
      <c r="O87" s="4"/>
      <c r="P87" s="4"/>
      <c r="Q87" s="4"/>
      <c r="R87" s="4"/>
      <c r="S87" s="4"/>
      <c r="T87" s="4"/>
      <c r="U87" s="4"/>
      <c r="V87" s="4"/>
      <c r="W87" s="4"/>
      <c r="X87" s="4"/>
      <c r="Y87" s="4"/>
      <c r="Z87" s="4"/>
    </row>
    <row r="88" spans="1:26">
      <c r="A88" s="159" t="s">
        <v>82</v>
      </c>
      <c r="B88" s="211">
        <f>IF($H88="yes",'Purchased Services Master'!$B$23*B$21,0)</f>
        <v>0</v>
      </c>
      <c r="C88" s="211">
        <f>IF($H88="yes",'Purchased Services Master'!$B$23*C$21,IF($H88="yes - no year 0",'Purchased Services Master'!$B$23*C$21,0))</f>
        <v>0</v>
      </c>
      <c r="D88" s="211">
        <f>IF($H88="yes",'Purchased Services Master'!$B$23*D$21,IF($H88="yes - no year 0",'Purchased Services Master'!$B$23*D$21,0))</f>
        <v>0</v>
      </c>
      <c r="E88" s="211">
        <f>IF($H88="yes",'Purchased Services Master'!$B$23*E$21,IF($H88="yes - no year 0",'Purchased Services Master'!$B$23*E$21,0))</f>
        <v>0</v>
      </c>
      <c r="F88" s="211">
        <f>IF($H88="yes",'Purchased Services Master'!$B$23*F$21,IF($H88="yes - no year 0",'Purchased Services Master'!$B$23*F$21,0))</f>
        <v>0</v>
      </c>
      <c r="G88" s="211">
        <f>IF($H88="yes",'Purchased Services Master'!$B$23*G$21,IF($H88="yes - no year 0",'Purchased Services Master'!$B$23*G$21,0))</f>
        <v>0</v>
      </c>
      <c r="H88" s="219" t="s">
        <v>278</v>
      </c>
      <c r="I88" s="153"/>
      <c r="J88" s="196" t="str">
        <f>CONCATENATE("$",'Purchased Services Master'!$B$23," per FTE, plus cost of postage")</f>
        <v>$2 per FTE, plus cost of postage</v>
      </c>
      <c r="K88" s="4"/>
      <c r="L88" s="4"/>
      <c r="M88" s="4"/>
      <c r="N88" s="4"/>
      <c r="O88" s="4"/>
      <c r="P88" s="4"/>
      <c r="Q88" s="4"/>
      <c r="R88" s="4"/>
      <c r="S88" s="4"/>
      <c r="T88" s="4"/>
      <c r="U88" s="4"/>
      <c r="V88" s="4"/>
      <c r="W88" s="4"/>
      <c r="X88" s="4"/>
      <c r="Y88" s="4"/>
      <c r="Z88" s="4"/>
    </row>
    <row r="89" spans="1:26">
      <c r="A89" s="9"/>
      <c r="B89" s="198"/>
      <c r="C89" s="97"/>
      <c r="D89" s="97"/>
      <c r="E89" s="97"/>
      <c r="F89" s="97"/>
      <c r="G89" s="220"/>
      <c r="H89" s="220"/>
      <c r="I89" s="213"/>
      <c r="J89" s="67"/>
      <c r="K89" s="4"/>
      <c r="L89" s="4"/>
      <c r="M89" s="4"/>
      <c r="N89" s="4"/>
      <c r="O89" s="4"/>
      <c r="P89" s="4"/>
      <c r="Q89" s="4"/>
      <c r="R89" s="4"/>
      <c r="S89" s="4"/>
      <c r="T89" s="4"/>
      <c r="U89" s="4"/>
      <c r="V89" s="4"/>
      <c r="W89" s="4"/>
      <c r="X89" s="4"/>
      <c r="Y89" s="4"/>
      <c r="Z89" s="4"/>
    </row>
    <row r="90" spans="1:26">
      <c r="A90" s="314" t="s">
        <v>198</v>
      </c>
      <c r="B90" s="299"/>
      <c r="C90" s="299"/>
      <c r="D90" s="299"/>
      <c r="E90" s="299"/>
      <c r="F90" s="299"/>
      <c r="G90" s="299"/>
      <c r="H90" s="299"/>
      <c r="I90" s="300"/>
      <c r="J90" s="67"/>
      <c r="K90" s="4"/>
      <c r="L90" s="4"/>
      <c r="M90" s="4"/>
      <c r="N90" s="4"/>
      <c r="O90" s="4"/>
      <c r="P90" s="4"/>
      <c r="Q90" s="4"/>
      <c r="R90" s="4"/>
      <c r="S90" s="4"/>
      <c r="T90" s="4"/>
      <c r="U90" s="4"/>
      <c r="V90" s="4"/>
      <c r="W90" s="4"/>
      <c r="X90" s="4"/>
      <c r="Y90" s="4"/>
      <c r="Z90" s="4"/>
    </row>
    <row r="91" spans="1:26" ht="60" customHeight="1">
      <c r="A91" s="148" t="s">
        <v>84</v>
      </c>
      <c r="B91" s="214">
        <v>0</v>
      </c>
      <c r="C91" s="214">
        <v>0</v>
      </c>
      <c r="D91" s="214">
        <v>0</v>
      </c>
      <c r="E91" s="214">
        <v>0</v>
      </c>
      <c r="F91" s="214">
        <v>0</v>
      </c>
      <c r="G91" s="214">
        <v>0</v>
      </c>
      <c r="H91" s="215" t="s">
        <v>278</v>
      </c>
      <c r="I91" s="153"/>
      <c r="J91" s="196" t="str">
        <f>CONCATENATE(VLOOKUP(A91,'Purchased Services Master'!A:B,2,FALSE)," ",VLOOKUP(A91,'Purchased Services Master'!A:C,3,FALSE))</f>
        <v>Actual Cost 1-20; $100
21-50; $200
51-100; $300
100+; $400</v>
      </c>
      <c r="K91" s="4"/>
      <c r="L91" s="4"/>
      <c r="M91" s="4"/>
      <c r="N91" s="4"/>
      <c r="O91" s="4"/>
      <c r="P91" s="4"/>
      <c r="Q91" s="4"/>
      <c r="R91" s="4"/>
      <c r="S91" s="4"/>
      <c r="T91" s="4"/>
      <c r="U91" s="4"/>
      <c r="V91" s="4"/>
      <c r="W91" s="4"/>
      <c r="X91" s="4"/>
      <c r="Y91" s="4"/>
      <c r="Z91" s="4"/>
    </row>
    <row r="92" spans="1:26">
      <c r="A92" s="154" t="s">
        <v>86</v>
      </c>
      <c r="B92" s="216">
        <v>0</v>
      </c>
      <c r="C92" s="216">
        <v>0</v>
      </c>
      <c r="D92" s="216">
        <v>0</v>
      </c>
      <c r="E92" s="216">
        <v>0</v>
      </c>
      <c r="F92" s="216">
        <v>0</v>
      </c>
      <c r="G92" s="216">
        <v>0</v>
      </c>
      <c r="H92" s="217" t="s">
        <v>278</v>
      </c>
      <c r="I92" s="153"/>
      <c r="J92" s="208" t="str">
        <f>VLOOKUP(A92,'Purchased Services Master'!A:B,2,FALSE)</f>
        <v>$60 per participant</v>
      </c>
      <c r="K92" s="4"/>
      <c r="L92" s="4"/>
      <c r="M92" s="4"/>
      <c r="N92" s="4"/>
      <c r="O92" s="4"/>
      <c r="P92" s="4"/>
      <c r="Q92" s="4"/>
      <c r="R92" s="4"/>
      <c r="S92" s="4"/>
      <c r="T92" s="4"/>
      <c r="U92" s="4"/>
      <c r="V92" s="4"/>
      <c r="W92" s="4"/>
      <c r="X92" s="4"/>
      <c r="Y92" s="4"/>
      <c r="Z92" s="4"/>
    </row>
    <row r="93" spans="1:26">
      <c r="A93" s="159" t="s">
        <v>90</v>
      </c>
      <c r="B93" s="221">
        <v>0</v>
      </c>
      <c r="C93" s="221">
        <v>0</v>
      </c>
      <c r="D93" s="221">
        <v>0</v>
      </c>
      <c r="E93" s="221">
        <v>0</v>
      </c>
      <c r="F93" s="221">
        <v>0</v>
      </c>
      <c r="G93" s="221">
        <v>0</v>
      </c>
      <c r="H93" s="219" t="s">
        <v>278</v>
      </c>
      <c r="I93" s="153"/>
      <c r="J93" s="208" t="str">
        <f>VLOOKUP(A93,'Purchased Services Master'!A:B,2,FALSE)</f>
        <v>$350 per course</v>
      </c>
      <c r="K93" s="4"/>
      <c r="L93" s="4"/>
      <c r="M93" s="4"/>
      <c r="N93" s="4"/>
      <c r="O93" s="4"/>
      <c r="P93" s="4"/>
      <c r="Q93" s="4"/>
      <c r="R93" s="4"/>
      <c r="S93" s="4"/>
      <c r="T93" s="4"/>
      <c r="U93" s="4"/>
      <c r="V93" s="4"/>
      <c r="W93" s="4"/>
      <c r="X93" s="4"/>
      <c r="Y93" s="4"/>
      <c r="Z93" s="4"/>
    </row>
    <row r="94" spans="1:26">
      <c r="A94" s="9"/>
      <c r="B94" s="163"/>
      <c r="C94" s="93"/>
      <c r="D94" s="93"/>
      <c r="E94" s="93"/>
      <c r="F94" s="93"/>
      <c r="G94" s="212"/>
      <c r="H94" s="212"/>
      <c r="I94" s="213"/>
      <c r="J94" s="67"/>
      <c r="K94" s="4"/>
      <c r="L94" s="4"/>
      <c r="M94" s="4"/>
      <c r="N94" s="4"/>
      <c r="O94" s="4"/>
      <c r="P94" s="4"/>
      <c r="Q94" s="4"/>
      <c r="R94" s="4"/>
      <c r="S94" s="4"/>
      <c r="T94" s="4"/>
      <c r="U94" s="4"/>
      <c r="V94" s="4"/>
      <c r="W94" s="4"/>
      <c r="X94" s="4"/>
      <c r="Y94" s="4"/>
      <c r="Z94" s="4"/>
    </row>
    <row r="95" spans="1:26">
      <c r="A95" s="314" t="s">
        <v>200</v>
      </c>
      <c r="B95" s="299"/>
      <c r="C95" s="299"/>
      <c r="D95" s="299"/>
      <c r="E95" s="299"/>
      <c r="F95" s="299"/>
      <c r="G95" s="299"/>
      <c r="H95" s="299"/>
      <c r="I95" s="300"/>
      <c r="J95" s="67"/>
      <c r="K95" s="4"/>
      <c r="L95" s="4"/>
      <c r="M95" s="4"/>
      <c r="N95" s="4"/>
      <c r="O95" s="4"/>
      <c r="P95" s="4"/>
      <c r="Q95" s="4"/>
      <c r="R95" s="4"/>
      <c r="S95" s="4"/>
      <c r="T95" s="4"/>
      <c r="U95" s="4"/>
      <c r="V95" s="4"/>
      <c r="W95" s="4"/>
      <c r="X95" s="4"/>
      <c r="Y95" s="4"/>
      <c r="Z95" s="4"/>
    </row>
    <row r="96" spans="1:26">
      <c r="A96" s="148" t="s">
        <v>93</v>
      </c>
      <c r="B96" s="214">
        <v>0</v>
      </c>
      <c r="C96" s="214">
        <v>0</v>
      </c>
      <c r="D96" s="214">
        <v>0</v>
      </c>
      <c r="E96" s="214">
        <v>0</v>
      </c>
      <c r="F96" s="214">
        <v>0</v>
      </c>
      <c r="G96" s="214">
        <v>0</v>
      </c>
      <c r="H96" s="215" t="s">
        <v>278</v>
      </c>
      <c r="I96" s="153"/>
      <c r="J96" s="196" t="str">
        <f>VLOOKUP(A96,'Purchased Services Master'!A:B,2,FALSE)</f>
        <v>Actual cost, plus supplies and materials</v>
      </c>
      <c r="K96" s="4"/>
      <c r="L96" s="4"/>
      <c r="M96" s="4"/>
      <c r="N96" s="4"/>
      <c r="O96" s="4"/>
      <c r="P96" s="4"/>
      <c r="Q96" s="4"/>
      <c r="R96" s="4"/>
      <c r="S96" s="4"/>
      <c r="T96" s="4"/>
      <c r="U96" s="4"/>
      <c r="V96" s="4"/>
      <c r="W96" s="4"/>
      <c r="X96" s="4"/>
      <c r="Y96" s="4"/>
      <c r="Z96" s="4"/>
    </row>
    <row r="97" spans="1:26">
      <c r="A97" s="154" t="s">
        <v>95</v>
      </c>
      <c r="B97" s="216">
        <v>0</v>
      </c>
      <c r="C97" s="216">
        <v>0</v>
      </c>
      <c r="D97" s="216">
        <v>0</v>
      </c>
      <c r="E97" s="216">
        <v>0</v>
      </c>
      <c r="F97" s="216">
        <v>0</v>
      </c>
      <c r="G97" s="216">
        <v>0</v>
      </c>
      <c r="H97" s="217" t="s">
        <v>278</v>
      </c>
      <c r="I97" s="153"/>
      <c r="J97" s="208" t="str">
        <f>VLOOKUP(A97,'Purchased Services Master'!A:B,2,FALSE)</f>
        <v>Actual Cost</v>
      </c>
      <c r="K97" s="4"/>
      <c r="L97" s="4"/>
      <c r="M97" s="4"/>
      <c r="N97" s="4"/>
      <c r="O97" s="4"/>
      <c r="P97" s="4"/>
      <c r="Q97" s="4"/>
      <c r="R97" s="4"/>
      <c r="S97" s="4"/>
      <c r="T97" s="4"/>
      <c r="U97" s="4"/>
      <c r="V97" s="4"/>
      <c r="W97" s="4"/>
      <c r="X97" s="4"/>
      <c r="Y97" s="4"/>
      <c r="Z97" s="4"/>
    </row>
    <row r="98" spans="1:26">
      <c r="A98" s="159" t="s">
        <v>96</v>
      </c>
      <c r="B98" s="221">
        <v>0</v>
      </c>
      <c r="C98" s="221">
        <v>0</v>
      </c>
      <c r="D98" s="221">
        <v>0</v>
      </c>
      <c r="E98" s="221">
        <v>0</v>
      </c>
      <c r="F98" s="221">
        <v>0</v>
      </c>
      <c r="G98" s="221">
        <v>0</v>
      </c>
      <c r="H98" s="219" t="s">
        <v>278</v>
      </c>
      <c r="I98" s="153"/>
      <c r="J98" s="208" t="str">
        <f>VLOOKUP(A98,'Purchased Services Master'!A:B,2,FALSE)</f>
        <v>Actual Cost</v>
      </c>
      <c r="K98" s="4"/>
      <c r="L98" s="4"/>
      <c r="M98" s="4"/>
      <c r="N98" s="4"/>
      <c r="O98" s="4"/>
      <c r="P98" s="4"/>
      <c r="Q98" s="4"/>
      <c r="R98" s="4"/>
      <c r="S98" s="4"/>
      <c r="T98" s="4"/>
      <c r="U98" s="4"/>
      <c r="V98" s="4"/>
      <c r="W98" s="4"/>
      <c r="X98" s="4"/>
      <c r="Y98" s="4"/>
      <c r="Z98" s="4"/>
    </row>
    <row r="99" spans="1:26">
      <c r="A99" s="9"/>
      <c r="B99" s="198"/>
      <c r="C99" s="97"/>
      <c r="D99" s="97"/>
      <c r="E99" s="97"/>
      <c r="F99" s="97"/>
      <c r="G99" s="220"/>
      <c r="H99" s="220"/>
      <c r="I99" s="213"/>
      <c r="J99" s="67"/>
      <c r="K99" s="4"/>
      <c r="L99" s="4"/>
      <c r="M99" s="4"/>
      <c r="N99" s="4"/>
      <c r="O99" s="4"/>
      <c r="P99" s="4"/>
      <c r="Q99" s="4"/>
      <c r="R99" s="4"/>
      <c r="S99" s="4"/>
      <c r="T99" s="4"/>
      <c r="U99" s="4"/>
      <c r="V99" s="4"/>
      <c r="W99" s="4"/>
      <c r="X99" s="4"/>
      <c r="Y99" s="4"/>
      <c r="Z99" s="4"/>
    </row>
    <row r="100" spans="1:26">
      <c r="A100" s="314" t="s">
        <v>203</v>
      </c>
      <c r="B100" s="299"/>
      <c r="C100" s="299"/>
      <c r="D100" s="299"/>
      <c r="E100" s="299"/>
      <c r="F100" s="299"/>
      <c r="G100" s="299"/>
      <c r="H100" s="299"/>
      <c r="I100" s="300"/>
      <c r="J100" s="67"/>
      <c r="K100" s="4"/>
      <c r="L100" s="4"/>
      <c r="M100" s="4"/>
      <c r="N100" s="4"/>
      <c r="O100" s="4"/>
      <c r="P100" s="4"/>
      <c r="Q100" s="4"/>
      <c r="R100" s="4"/>
      <c r="S100" s="4"/>
      <c r="T100" s="4"/>
      <c r="U100" s="4"/>
      <c r="V100" s="4"/>
      <c r="W100" s="4"/>
      <c r="X100" s="4"/>
      <c r="Y100" s="4"/>
      <c r="Z100" s="4"/>
    </row>
    <row r="101" spans="1:26">
      <c r="A101" s="148" t="s">
        <v>98</v>
      </c>
      <c r="B101" s="222">
        <f>IF($H101="yes",'Purchased Services Master'!$B$34,0)</f>
        <v>0</v>
      </c>
      <c r="C101" s="222">
        <f>IF($H101="yes",'Purchased Services Master'!$B$34,IF($H101="yes - no year 0",'Purchased Services Master'!$B$34,0))</f>
        <v>0</v>
      </c>
      <c r="D101" s="222">
        <f>IF($H101="yes",'Purchased Services Master'!$B$34,IF($H101="yes - no year 0",'Purchased Services Master'!$B$34,0))</f>
        <v>0</v>
      </c>
      <c r="E101" s="222">
        <f>IF($H101="yes",'Purchased Services Master'!$B$34,IF($H101="yes - no year 0",'Purchased Services Master'!$B$34,0))</f>
        <v>0</v>
      </c>
      <c r="F101" s="222">
        <f>IF($H101="yes",'Purchased Services Master'!$B$34,IF($H101="yes - no year 0",'Purchased Services Master'!$B$34,0))</f>
        <v>0</v>
      </c>
      <c r="G101" s="222">
        <f>IF($H101="yes",'Purchased Services Master'!$B$34,IF($H101="yes - no year 0",'Purchased Services Master'!$B$34,0))</f>
        <v>0</v>
      </c>
      <c r="H101" s="215" t="s">
        <v>278</v>
      </c>
      <c r="I101" s="153"/>
      <c r="J101" s="208" t="str">
        <f>CONCATENATE("1 FTE = $",'Purchased Services Master'!B34)</f>
        <v>1 FTE = $99286.93</v>
      </c>
      <c r="K101" s="4"/>
      <c r="L101" s="4"/>
      <c r="M101" s="4"/>
      <c r="N101" s="4"/>
      <c r="O101" s="4"/>
      <c r="P101" s="4"/>
      <c r="Q101" s="4"/>
      <c r="R101" s="4"/>
      <c r="S101" s="4"/>
      <c r="T101" s="4"/>
      <c r="U101" s="4"/>
      <c r="V101" s="4"/>
      <c r="W101" s="4"/>
      <c r="X101" s="4"/>
      <c r="Y101" s="4"/>
      <c r="Z101" s="4"/>
    </row>
    <row r="102" spans="1:26">
      <c r="A102" s="154" t="s">
        <v>99</v>
      </c>
      <c r="B102" s="203">
        <f>IF($H102="yes",'Purchased Services Master'!$B$35*B$21,0)</f>
        <v>0</v>
      </c>
      <c r="C102" s="203">
        <f>IF($H102="yes",'Purchased Services Master'!$B$35*C$21,IF($H102="yes - no year 0",'Purchased Services Master'!$B$35*C$21,0))</f>
        <v>0</v>
      </c>
      <c r="D102" s="203">
        <f>IF($H102="yes",'Purchased Services Master'!$B$35*D$21,IF($H102="yes - no year 0",'Purchased Services Master'!$B$35*D$21,0))</f>
        <v>0</v>
      </c>
      <c r="E102" s="203">
        <f>IF($H102="yes",'Purchased Services Master'!$B$35*E$21,IF($H102="yes - no year 0",'Purchased Services Master'!$B$35*E$21,0))</f>
        <v>0</v>
      </c>
      <c r="F102" s="203">
        <f>IF($H102="yes",'Purchased Services Master'!$B$35*F$21,IF($H102="yes - no year 0",'Purchased Services Master'!$B$35*F$21,0))</f>
        <v>0</v>
      </c>
      <c r="G102" s="203">
        <f>IF($H102="yes",'Purchased Services Master'!$B$35*G$21,IF($H102="yes - no year 0",'Purchased Services Master'!$B$35*G$21,0))</f>
        <v>0</v>
      </c>
      <c r="H102" s="217" t="s">
        <v>278</v>
      </c>
      <c r="I102" s="153"/>
      <c r="J102" s="196" t="str">
        <f>CONCATENATE("$",'Purchased Services Master'!$B$35," ","per FTE")</f>
        <v>$3.18 per FTE</v>
      </c>
      <c r="K102" s="4"/>
      <c r="L102" s="4"/>
      <c r="M102" s="4"/>
      <c r="N102" s="4"/>
      <c r="O102" s="4"/>
      <c r="P102" s="4"/>
      <c r="Q102" s="4"/>
      <c r="R102" s="4"/>
      <c r="S102" s="4"/>
      <c r="T102" s="4"/>
      <c r="U102" s="4"/>
      <c r="V102" s="4"/>
      <c r="W102" s="4"/>
      <c r="X102" s="4"/>
      <c r="Y102" s="4"/>
      <c r="Z102" s="4"/>
    </row>
    <row r="103" spans="1:26">
      <c r="A103" s="159" t="s">
        <v>100</v>
      </c>
      <c r="B103" s="221">
        <v>0</v>
      </c>
      <c r="C103" s="221">
        <v>0</v>
      </c>
      <c r="D103" s="221">
        <v>0</v>
      </c>
      <c r="E103" s="221">
        <v>0</v>
      </c>
      <c r="F103" s="221">
        <v>0</v>
      </c>
      <c r="G103" s="221">
        <v>0</v>
      </c>
      <c r="H103" s="219" t="s">
        <v>278</v>
      </c>
      <c r="I103" s="153"/>
      <c r="J103" s="208" t="str">
        <f>VLOOKUP(A103,'Purchased Services Master'!A:B,2,FALSE)</f>
        <v>Actual Cost per student</v>
      </c>
      <c r="K103" s="4"/>
      <c r="L103" s="4"/>
      <c r="M103" s="4"/>
      <c r="N103" s="4"/>
      <c r="O103" s="4"/>
      <c r="P103" s="4"/>
      <c r="Q103" s="4"/>
      <c r="R103" s="4"/>
      <c r="S103" s="4"/>
      <c r="T103" s="4"/>
      <c r="U103" s="4"/>
      <c r="V103" s="4"/>
      <c r="W103" s="4"/>
      <c r="X103" s="4"/>
      <c r="Y103" s="4"/>
      <c r="Z103" s="4"/>
    </row>
    <row r="104" spans="1:26">
      <c r="A104" s="9"/>
      <c r="B104" s="198"/>
      <c r="C104" s="97"/>
      <c r="D104" s="97"/>
      <c r="E104" s="97"/>
      <c r="F104" s="97"/>
      <c r="G104" s="220"/>
      <c r="H104" s="220"/>
      <c r="I104" s="213"/>
      <c r="J104" s="67"/>
      <c r="K104" s="4"/>
      <c r="L104" s="4"/>
      <c r="M104" s="4"/>
      <c r="N104" s="4"/>
      <c r="O104" s="4"/>
      <c r="P104" s="4"/>
      <c r="Q104" s="4"/>
      <c r="R104" s="4"/>
      <c r="S104" s="4"/>
      <c r="T104" s="4"/>
      <c r="U104" s="4"/>
      <c r="V104" s="4"/>
      <c r="W104" s="4"/>
      <c r="X104" s="4"/>
      <c r="Y104" s="4"/>
      <c r="Z104" s="4"/>
    </row>
    <row r="105" spans="1:26">
      <c r="A105" s="321" t="s">
        <v>205</v>
      </c>
      <c r="B105" s="299"/>
      <c r="C105" s="299"/>
      <c r="D105" s="299"/>
      <c r="E105" s="299"/>
      <c r="F105" s="299"/>
      <c r="G105" s="299"/>
      <c r="H105" s="299"/>
      <c r="I105" s="300"/>
      <c r="J105" s="67"/>
      <c r="K105" s="4"/>
      <c r="L105" s="4"/>
      <c r="M105" s="4"/>
      <c r="N105" s="4"/>
      <c r="O105" s="4"/>
      <c r="P105" s="4"/>
      <c r="Q105" s="4"/>
      <c r="R105" s="4"/>
      <c r="S105" s="4"/>
      <c r="T105" s="4"/>
      <c r="U105" s="4"/>
      <c r="V105" s="4"/>
      <c r="W105" s="4"/>
      <c r="X105" s="4"/>
      <c r="Y105" s="4"/>
      <c r="Z105" s="4"/>
    </row>
    <row r="106" spans="1:26">
      <c r="A106" s="148" t="s">
        <v>105</v>
      </c>
      <c r="B106" s="214">
        <v>0</v>
      </c>
      <c r="C106" s="214">
        <v>0</v>
      </c>
      <c r="D106" s="214">
        <v>0</v>
      </c>
      <c r="E106" s="214">
        <v>0</v>
      </c>
      <c r="F106" s="214">
        <v>0</v>
      </c>
      <c r="G106" s="214">
        <v>0</v>
      </c>
      <c r="H106" s="215" t="s">
        <v>278</v>
      </c>
      <c r="I106" s="153"/>
      <c r="J106" s="208" t="str">
        <f>VLOOKUP(A106,'Purchased Services Master'!A:B,2,FALSE)</f>
        <v>$50 per posting</v>
      </c>
      <c r="K106" s="4"/>
      <c r="L106" s="4"/>
      <c r="M106" s="4"/>
      <c r="N106" s="4"/>
      <c r="O106" s="4"/>
      <c r="P106" s="4"/>
      <c r="Q106" s="4"/>
      <c r="R106" s="4"/>
      <c r="S106" s="4"/>
      <c r="T106" s="4"/>
      <c r="U106" s="4"/>
      <c r="V106" s="4"/>
      <c r="W106" s="4"/>
      <c r="X106" s="4"/>
      <c r="Y106" s="4"/>
      <c r="Z106" s="4"/>
    </row>
    <row r="107" spans="1:26">
      <c r="A107" s="154" t="s">
        <v>107</v>
      </c>
      <c r="B107" s="203">
        <f>IF(AND($H107="yes"),'Purchased Services Master'!$B$41,IF(AND($H107="yes - no year 0"),0,0))</f>
        <v>0</v>
      </c>
      <c r="C107" s="203">
        <f>IF(B107=600,0,IF(AND($H107="yes"),'Purchased Services Master'!$B$41,IF(AND($H107="yes - no year 0"),'Purchased Services Master'!$B$41,0)))</f>
        <v>0</v>
      </c>
      <c r="D107" s="203">
        <f>IF(C107=600,0,IF(B107=600,0,IF(AND($H107="yes"),'Purchased Services Master'!$B$41,IF(AND($H107="yes - no year 0"),'Purchased Services Master'!$B$41,0))))</f>
        <v>0</v>
      </c>
      <c r="E107" s="203">
        <f>IF(D107=600,0,IF(B107=600,0,IF(C107=600,0,IF(AND($H107="yes"),'Purchased Services Master'!$B$41,IF(AND($H107="yes - no year 0"),'Purchased Services Master'!$B$41,0)))))</f>
        <v>0</v>
      </c>
      <c r="F107" s="203">
        <f>IF(E107=600,0,IF(B107=600,0,IF(C107=600,0,IF(AND($H107="yes"),'Purchased Services Master'!$B$41,IF(AND($H107="yes - no year 0"),'Purchased Services Master'!$B$41,0)))))</f>
        <v>0</v>
      </c>
      <c r="G107" s="203">
        <f>IF(F107=600,0,IF(B107=600,0,IF(C107=600,0,IF(AND($H107="yes"),'Purchased Services Master'!$B$41,IF(AND($H107="yes - no year 0"),'Purchased Services Master'!$B$41,0)))))</f>
        <v>0</v>
      </c>
      <c r="H107" s="217" t="s">
        <v>278</v>
      </c>
      <c r="I107" s="153"/>
      <c r="J107" s="196" t="str">
        <f>CONCATENATE("$",'Purchased Services Master'!B41," one time setup fee")</f>
        <v>$600 one time setup fee</v>
      </c>
      <c r="K107" s="4"/>
      <c r="L107" s="4"/>
      <c r="M107" s="4"/>
      <c r="N107" s="4"/>
      <c r="O107" s="4"/>
      <c r="P107" s="4"/>
      <c r="Q107" s="4"/>
      <c r="R107" s="4"/>
      <c r="S107" s="4"/>
      <c r="T107" s="4"/>
      <c r="U107" s="4"/>
      <c r="V107" s="4"/>
      <c r="W107" s="4"/>
      <c r="X107" s="4"/>
      <c r="Y107" s="4"/>
      <c r="Z107" s="4"/>
    </row>
    <row r="108" spans="1:26">
      <c r="A108" s="154" t="s">
        <v>103</v>
      </c>
      <c r="B108" s="216">
        <v>0</v>
      </c>
      <c r="C108" s="216">
        <v>0</v>
      </c>
      <c r="D108" s="216">
        <v>0</v>
      </c>
      <c r="E108" s="216">
        <v>0</v>
      </c>
      <c r="F108" s="216">
        <v>0</v>
      </c>
      <c r="G108" s="216">
        <v>0</v>
      </c>
      <c r="H108" s="217" t="s">
        <v>278</v>
      </c>
      <c r="I108" s="153"/>
      <c r="J108" s="196" t="s">
        <v>327</v>
      </c>
      <c r="K108" s="4"/>
      <c r="L108" s="4"/>
      <c r="M108" s="4"/>
      <c r="N108" s="4"/>
      <c r="O108" s="4"/>
      <c r="P108" s="4"/>
      <c r="Q108" s="4"/>
      <c r="R108" s="4"/>
      <c r="S108" s="4"/>
      <c r="T108" s="4"/>
      <c r="U108" s="4"/>
      <c r="V108" s="4"/>
      <c r="W108" s="4"/>
      <c r="X108" s="4"/>
      <c r="Y108" s="4"/>
      <c r="Z108" s="4"/>
    </row>
    <row r="109" spans="1:26">
      <c r="A109" s="154" t="s">
        <v>109</v>
      </c>
      <c r="B109" s="216">
        <v>0</v>
      </c>
      <c r="C109" s="216">
        <v>0</v>
      </c>
      <c r="D109" s="216">
        <v>0</v>
      </c>
      <c r="E109" s="216">
        <v>0</v>
      </c>
      <c r="F109" s="216">
        <v>0</v>
      </c>
      <c r="G109" s="216">
        <v>0</v>
      </c>
      <c r="H109" s="217" t="s">
        <v>278</v>
      </c>
      <c r="I109" s="153"/>
      <c r="J109" s="196" t="s">
        <v>106</v>
      </c>
      <c r="K109" s="4"/>
      <c r="L109" s="4"/>
      <c r="M109" s="4"/>
      <c r="N109" s="4"/>
      <c r="O109" s="4"/>
      <c r="P109" s="4"/>
      <c r="Q109" s="4"/>
      <c r="R109" s="4"/>
      <c r="S109" s="4"/>
      <c r="T109" s="4"/>
      <c r="U109" s="4"/>
      <c r="V109" s="4"/>
      <c r="W109" s="4"/>
      <c r="X109" s="4"/>
      <c r="Y109" s="4"/>
      <c r="Z109" s="4"/>
    </row>
    <row r="110" spans="1:26">
      <c r="A110" s="159" t="s">
        <v>108</v>
      </c>
      <c r="B110" s="211">
        <f>IF(AND($H110="yes"),'Purchased Services Master'!$B42,IF(AND($H110="yes - no year 0"),0,0))</f>
        <v>0</v>
      </c>
      <c r="C110" s="211">
        <f>IF(AND($H110="yes"),'Purchased Services Master'!$B42,IF(AND($H110="yes - no year 0"),'Purchased Services Master'!$B42,0))</f>
        <v>0</v>
      </c>
      <c r="D110" s="211">
        <f>IF(AND($H110="yes"),'Purchased Services Master'!$B42,IF(AND($H110="yes - no year 0"),'Purchased Services Master'!$B42,0))</f>
        <v>0</v>
      </c>
      <c r="E110" s="211">
        <f>IF(AND($H110="yes"),'Purchased Services Master'!$B42,IF(AND($H110="yes - no year 0"),'Purchased Services Master'!$B42,0))</f>
        <v>0</v>
      </c>
      <c r="F110" s="211">
        <f>IF(AND($H110="yes"),'Purchased Services Master'!$B42,IF(AND($H110="yes - no year 0"),'Purchased Services Master'!$B42,0))</f>
        <v>0</v>
      </c>
      <c r="G110" s="211">
        <f>IF(AND($H110="yes"),'Purchased Services Master'!$B42,IF(AND($H110="yes - no year 0"),'Purchased Services Master'!$B42,0))</f>
        <v>0</v>
      </c>
      <c r="H110" s="219" t="s">
        <v>278</v>
      </c>
      <c r="I110" s="153"/>
      <c r="J110" s="196" t="str">
        <f>CONCATENATE("$",VLOOKUP(A110,'Purchased Services Master'!A:B,2,FALSE))</f>
        <v>$3150</v>
      </c>
      <c r="K110" s="4"/>
      <c r="L110" s="4"/>
      <c r="M110" s="4"/>
      <c r="N110" s="4"/>
      <c r="O110" s="4"/>
      <c r="P110" s="4"/>
      <c r="Q110" s="4"/>
      <c r="R110" s="4"/>
      <c r="S110" s="4"/>
      <c r="T110" s="4"/>
      <c r="U110" s="4"/>
      <c r="V110" s="4"/>
      <c r="W110" s="4"/>
      <c r="X110" s="4"/>
      <c r="Y110" s="4"/>
      <c r="Z110" s="4"/>
    </row>
    <row r="111" spans="1:26">
      <c r="A111" s="9"/>
      <c r="B111" s="198"/>
      <c r="C111" s="97"/>
      <c r="D111" s="97"/>
      <c r="E111" s="97"/>
      <c r="F111" s="97"/>
      <c r="G111" s="220"/>
      <c r="H111" s="220"/>
      <c r="I111" s="213"/>
      <c r="J111" s="67"/>
      <c r="K111" s="4"/>
      <c r="L111" s="4"/>
      <c r="M111" s="4"/>
      <c r="N111" s="4"/>
      <c r="O111" s="4"/>
      <c r="P111" s="4"/>
      <c r="Q111" s="4"/>
      <c r="R111" s="4"/>
      <c r="S111" s="4"/>
      <c r="T111" s="4"/>
      <c r="U111" s="4"/>
      <c r="V111" s="4"/>
      <c r="W111" s="4"/>
      <c r="X111" s="4"/>
      <c r="Y111" s="4"/>
      <c r="Z111" s="4"/>
    </row>
    <row r="112" spans="1:26">
      <c r="A112" s="314" t="s">
        <v>209</v>
      </c>
      <c r="B112" s="299"/>
      <c r="C112" s="299"/>
      <c r="D112" s="299"/>
      <c r="E112" s="299"/>
      <c r="F112" s="299"/>
      <c r="G112" s="299"/>
      <c r="H112" s="299"/>
      <c r="I112" s="300"/>
      <c r="J112" s="223"/>
      <c r="K112" s="4"/>
      <c r="L112" s="4"/>
      <c r="M112" s="4"/>
      <c r="N112" s="4"/>
      <c r="O112" s="4"/>
      <c r="P112" s="4"/>
      <c r="Q112" s="4"/>
      <c r="R112" s="4"/>
      <c r="S112" s="4"/>
      <c r="T112" s="4"/>
      <c r="U112" s="4"/>
      <c r="V112" s="4"/>
      <c r="W112" s="4"/>
      <c r="X112" s="4"/>
      <c r="Y112" s="4"/>
      <c r="Z112" s="4"/>
    </row>
    <row r="113" spans="1:26">
      <c r="A113" s="148" t="s">
        <v>210</v>
      </c>
      <c r="B113" s="222">
        <f>IF(AND($H113="yes"),'Purchased Services Master'!$B45,IF(AND($H113="yes - no year 0"),0,0))</f>
        <v>0</v>
      </c>
      <c r="C113" s="222">
        <f>IF(AND($H113="yes"),'Purchased Services Master'!$B45,IF(AND($H113="yes - no year 0"),'Purchased Services Master'!$B45,0))</f>
        <v>0</v>
      </c>
      <c r="D113" s="222">
        <f>IF(AND($H113="yes"),'Purchased Services Master'!$B45,IF(AND($H113="yes - no year 0"),'Purchased Services Master'!$B$45,0))</f>
        <v>0</v>
      </c>
      <c r="E113" s="222">
        <f>IF(AND($H113="yes"),'Purchased Services Master'!$B45,IF(AND($H113="yes - no year 0"),'Purchased Services Master'!$B$45,0))</f>
        <v>0</v>
      </c>
      <c r="F113" s="222">
        <f>IF(AND($H113="yes"),'Purchased Services Master'!$B45,IF(AND($H113="yes - no year 0"),'Purchased Services Master'!$B$45,0))</f>
        <v>0</v>
      </c>
      <c r="G113" s="222">
        <f>IF(AND($H113="yes"),'Purchased Services Master'!$B45,IF(AND($H113="yes - no year 0"),'Purchased Services Master'!$B$45,0))</f>
        <v>0</v>
      </c>
      <c r="H113" s="215" t="s">
        <v>278</v>
      </c>
      <c r="I113" s="153"/>
      <c r="J113" s="196" t="str">
        <f>'Purchased Services Master'!C45</f>
        <v>$1,253 per month</v>
      </c>
      <c r="K113" s="4"/>
      <c r="L113" s="4"/>
      <c r="M113" s="4"/>
      <c r="N113" s="4"/>
      <c r="O113" s="4"/>
      <c r="P113" s="4"/>
      <c r="Q113" s="4"/>
      <c r="R113" s="4"/>
      <c r="S113" s="4"/>
      <c r="T113" s="4"/>
      <c r="U113" s="4"/>
      <c r="V113" s="4"/>
      <c r="W113" s="4"/>
      <c r="X113" s="4"/>
      <c r="Y113" s="4"/>
      <c r="Z113" s="4"/>
    </row>
    <row r="114" spans="1:26">
      <c r="A114" s="154" t="s">
        <v>113</v>
      </c>
      <c r="B114" s="203">
        <f>IF(AND($H114="yes"),'Purchased Services Master'!$B46,IF(AND($H114="yes - no year 0"),0,0))</f>
        <v>0</v>
      </c>
      <c r="C114" s="203">
        <f>IF(B114=2500,0,IF(AND($H114="yes"),'Purchased Services Master'!$B$41,IF(AND($H114="yes - no year 0"),'Purchased Services Master'!$B$46,0)))</f>
        <v>0</v>
      </c>
      <c r="D114" s="203">
        <f>IF(C114=2500,0,IF(B114=2500,0,IF(AND($H114="yes"),'Purchased Services Master'!$B$41,IF(AND($H114="yes - no year 0"),'Purchased Services Master'!$B$46,0))))</f>
        <v>0</v>
      </c>
      <c r="E114" s="203">
        <f>IF(D114=2500,0,IF(B114=2500,0,IF(C114=2500,0,IF(AND($H114="yes"),'Purchased Services Master'!$B$41,IF(AND($H114="yes - no year 0"),'Purchased Services Master'!$B$46,0)))))</f>
        <v>0</v>
      </c>
      <c r="F114" s="203">
        <f>IF(E114=2500,0,IF(B114=2500,0,IF(C114=2500,0,IF(AND($H114="yes"),'Purchased Services Master'!$B$41,IF(AND($H114="yes - no year 0"),'Purchased Services Master'!$B$46,0)))))</f>
        <v>0</v>
      </c>
      <c r="G114" s="203">
        <f>IF(F114=2500,0,IF(B114=2500,0,IF(C114=2500,0,IF(AND($H114="yes"),'Purchased Services Master'!$B$41,IF(AND($H114="yes - no year 0"),'Purchased Services Master'!$B$46,0)))))</f>
        <v>0</v>
      </c>
      <c r="H114" s="217" t="s">
        <v>278</v>
      </c>
      <c r="I114" s="153"/>
      <c r="J114" s="196" t="str">
        <f>CONCATENATE("$",VLOOKUP(A114,'Purchased Services Master'!A:C,3,FALSE))</f>
        <v>$2,500 one-time router cost</v>
      </c>
      <c r="K114" s="4"/>
      <c r="L114" s="4"/>
      <c r="M114" s="4"/>
      <c r="N114" s="4"/>
      <c r="O114" s="4"/>
      <c r="P114" s="4"/>
      <c r="Q114" s="4"/>
      <c r="R114" s="4"/>
      <c r="S114" s="4"/>
      <c r="T114" s="4"/>
      <c r="U114" s="4"/>
      <c r="V114" s="4"/>
      <c r="W114" s="4"/>
      <c r="X114" s="4"/>
      <c r="Y114" s="4"/>
      <c r="Z114" s="4"/>
    </row>
    <row r="115" spans="1:26">
      <c r="A115" s="159" t="s">
        <v>115</v>
      </c>
      <c r="B115" s="211">
        <f>IF(AND($H115="yes"),'Purchased Services Master'!$B47,IF(AND($H115="yes - no year 0"),0,0))</f>
        <v>0</v>
      </c>
      <c r="C115" s="211">
        <f>IF(AND($H115="yes"),'Purchased Services Master'!$B47,IF(AND($H115="yes - no year 0"),'Purchased Services Master'!$B$47,0))</f>
        <v>0</v>
      </c>
      <c r="D115" s="211">
        <f>IF(AND($H115="yes"),'Purchased Services Master'!$B47,IF(AND($H115="yes - no year 0"),'Purchased Services Master'!$B$47,0))</f>
        <v>0</v>
      </c>
      <c r="E115" s="211">
        <f>IF(AND($H115="yes"),'Purchased Services Master'!$B47,IF(AND($H115="yes - no year 0"),'Purchased Services Master'!$B$47,0))</f>
        <v>0</v>
      </c>
      <c r="F115" s="211">
        <f>IF(AND($H115="yes"),'Purchased Services Master'!$B47,IF(AND($H115="yes - no year 0"),'Purchased Services Master'!$B$47,0))</f>
        <v>0</v>
      </c>
      <c r="G115" s="211">
        <f>IF(AND($H115="yes"),'Purchased Services Master'!$B47,IF(AND($H115="yes - no year 0"),'Purchased Services Master'!$B$47,0))</f>
        <v>0</v>
      </c>
      <c r="H115" s="219" t="s">
        <v>278</v>
      </c>
      <c r="I115" s="153"/>
      <c r="J115" s="196" t="str">
        <f>CONCATENATE("$",VLOOKUP(A115,'Purchased Services Master'!A:C,3,FALSE))</f>
        <v>$233 annual router maintenance</v>
      </c>
      <c r="K115" s="4"/>
      <c r="L115" s="4"/>
      <c r="M115" s="4"/>
      <c r="N115" s="4"/>
      <c r="O115" s="4"/>
      <c r="P115" s="4"/>
      <c r="Q115" s="4"/>
      <c r="R115" s="4"/>
      <c r="S115" s="4"/>
      <c r="T115" s="4"/>
      <c r="U115" s="4"/>
      <c r="V115" s="4"/>
      <c r="W115" s="4"/>
      <c r="X115" s="4"/>
      <c r="Y115" s="4"/>
      <c r="Z115" s="4"/>
    </row>
    <row r="116" spans="1:26">
      <c r="A116" s="154"/>
      <c r="B116" s="224"/>
      <c r="C116" s="224"/>
      <c r="D116" s="224"/>
      <c r="E116" s="224"/>
      <c r="F116" s="224"/>
      <c r="G116" s="225"/>
      <c r="H116" s="226"/>
      <c r="I116" s="213"/>
      <c r="J116" s="227"/>
      <c r="K116" s="4"/>
      <c r="L116" s="4"/>
      <c r="M116" s="4"/>
      <c r="N116" s="4"/>
      <c r="O116" s="4"/>
      <c r="P116" s="4"/>
      <c r="Q116" s="4"/>
      <c r="R116" s="4"/>
      <c r="S116" s="4"/>
      <c r="T116" s="4"/>
      <c r="U116" s="4"/>
      <c r="V116" s="4"/>
      <c r="W116" s="4"/>
      <c r="X116" s="4"/>
      <c r="Y116" s="4"/>
      <c r="Z116" s="4"/>
    </row>
    <row r="117" spans="1:26">
      <c r="A117" s="315" t="s">
        <v>212</v>
      </c>
      <c r="B117" s="316"/>
      <c r="C117" s="316"/>
      <c r="D117" s="316"/>
      <c r="E117" s="316"/>
      <c r="F117" s="316"/>
      <c r="G117" s="316"/>
      <c r="H117" s="316"/>
      <c r="I117" s="297"/>
      <c r="J117" s="227"/>
      <c r="K117" s="4"/>
      <c r="L117" s="4"/>
      <c r="M117" s="4"/>
      <c r="N117" s="4"/>
      <c r="O117" s="4"/>
      <c r="P117" s="4"/>
      <c r="Q117" s="4"/>
      <c r="R117" s="4"/>
      <c r="S117" s="4"/>
      <c r="T117" s="4"/>
      <c r="U117" s="4"/>
      <c r="V117" s="4"/>
      <c r="W117" s="4"/>
      <c r="X117" s="4"/>
      <c r="Y117" s="4"/>
      <c r="Z117" s="4"/>
    </row>
    <row r="118" spans="1:26" ht="60">
      <c r="A118" s="228" t="s">
        <v>213</v>
      </c>
      <c r="B118" s="222">
        <f>IF(AND($H118="yes"),'Purchased Services Master'!$B$50*B$21,IF(AND($H$118="yes - no year 0"),0,0))</f>
        <v>0</v>
      </c>
      <c r="C118" s="222">
        <f>IF(AND($H118="yes"),'Purchased Services Master'!$B$50*C$21,IF(AND($H$118="yes - no year 0"),'Purchased Services Master'!$B$50*C$21,0))</f>
        <v>0</v>
      </c>
      <c r="D118" s="222">
        <f>IF(AND($H118="yes"),'Purchased Services Master'!$B$50*D$21,IF(AND($H$118="yes - no year 0"),'Purchased Services Master'!$B$50*D$21,0))</f>
        <v>0</v>
      </c>
      <c r="E118" s="222">
        <f>IF(AND($H118="yes"),'Purchased Services Master'!$B$50*E$21,IF(AND($H$118="yes - no year 0"),'Purchased Services Master'!$B$50*E$21,0))</f>
        <v>0</v>
      </c>
      <c r="F118" s="222">
        <f>IF(AND($H118="yes"),'Purchased Services Master'!$B$50*F$21,IF(AND($H$118="yes - no year 0"),'Purchased Services Master'!$B$50*F$21,0))</f>
        <v>0</v>
      </c>
      <c r="G118" s="229">
        <f>IF(AND($H118="yes"),'Purchased Services Master'!$B$50*G$21,IF(AND($H$118="yes - no year 0"),'Purchased Services Master'!$B$50*G$21,0))</f>
        <v>0</v>
      </c>
      <c r="H118" s="215" t="s">
        <v>278</v>
      </c>
      <c r="I118" s="153"/>
      <c r="J118" s="196" t="str">
        <f>CONCATENATE('Purchased Services Master'!$B$50," ", "per FTE, plus see description included items")</f>
        <v>10.24 per FTE, plus see description included items</v>
      </c>
      <c r="K118" s="4"/>
      <c r="L118" s="4"/>
      <c r="M118" s="4"/>
      <c r="N118" s="4"/>
      <c r="O118" s="4"/>
      <c r="P118" s="4"/>
      <c r="Q118" s="4"/>
      <c r="R118" s="4"/>
      <c r="S118" s="4"/>
      <c r="T118" s="4"/>
      <c r="U118" s="4"/>
      <c r="V118" s="4"/>
      <c r="W118" s="4"/>
      <c r="X118" s="4"/>
      <c r="Y118" s="4"/>
      <c r="Z118" s="4"/>
    </row>
    <row r="119" spans="1:26">
      <c r="A119" s="204" t="s">
        <v>119</v>
      </c>
      <c r="B119" s="203">
        <f>IF(AND($H119="yes"),'Purchased Services Master'!$B$51*B$21,IF(AND($H$119="yes - no year 0"),0,0))</f>
        <v>0</v>
      </c>
      <c r="C119" s="203">
        <f>IF(AND($H119="yes"),'Purchased Services Master'!$B$51*C$21,IF(AND($H$119="yes - no year 0"),0,0))</f>
        <v>0</v>
      </c>
      <c r="D119" s="203">
        <f>IF(AND($H119="yes"),'Purchased Services Master'!$B$51*D$21,IF(AND($H$119="yes - no year 0"),0,0))</f>
        <v>0</v>
      </c>
      <c r="E119" s="203">
        <f>IF(AND($H119="yes"),'Purchased Services Master'!$B$51*E$21,IF(AND($H$119="yes - no year 0"),0,0))</f>
        <v>0</v>
      </c>
      <c r="F119" s="203">
        <f>IF(AND($H119="yes"),'Purchased Services Master'!$B$51*F$21,IF(AND($H$119="yes - no year 0"),0,0))</f>
        <v>0</v>
      </c>
      <c r="G119" s="203">
        <f>IF(AND($H119="yes"),'Purchased Services Master'!$B$51*G$21,IF(AND($H$119="yes - no year 0"),0,0))</f>
        <v>0</v>
      </c>
      <c r="H119" s="217" t="s">
        <v>278</v>
      </c>
      <c r="I119" s="153"/>
      <c r="J119" s="196" t="str">
        <f>CONCATENATE("$",VLOOKUP(A119,'Purchased Services Master'!A:B,2,FALSE)," per FTE")</f>
        <v>$2 per FTE</v>
      </c>
      <c r="K119" s="4"/>
      <c r="L119" s="4"/>
      <c r="M119" s="4"/>
      <c r="N119" s="4"/>
      <c r="O119" s="4"/>
      <c r="P119" s="4"/>
      <c r="Q119" s="4"/>
      <c r="R119" s="4"/>
      <c r="S119" s="4"/>
      <c r="T119" s="4"/>
      <c r="U119" s="4"/>
      <c r="V119" s="4"/>
      <c r="W119" s="4"/>
      <c r="X119" s="4"/>
      <c r="Y119" s="4"/>
      <c r="Z119" s="4"/>
    </row>
    <row r="120" spans="1:26">
      <c r="A120" s="204" t="s">
        <v>120</v>
      </c>
      <c r="B120" s="216">
        <v>0</v>
      </c>
      <c r="C120" s="216">
        <v>0</v>
      </c>
      <c r="D120" s="216">
        <v>0</v>
      </c>
      <c r="E120" s="216">
        <v>0</v>
      </c>
      <c r="F120" s="216">
        <v>0</v>
      </c>
      <c r="G120" s="230">
        <v>0</v>
      </c>
      <c r="H120" s="217" t="s">
        <v>278</v>
      </c>
      <c r="I120" s="153"/>
      <c r="J120" s="208" t="str">
        <f>VLOOKUP(A120,'Purchased Services Master'!A:B,2,FALSE)</f>
        <v>Range: $1,799 to $2,699</v>
      </c>
      <c r="K120" s="4"/>
      <c r="L120" s="4"/>
      <c r="M120" s="4"/>
      <c r="N120" s="4"/>
      <c r="O120" s="4"/>
      <c r="P120" s="4"/>
      <c r="Q120" s="4"/>
      <c r="R120" s="4"/>
      <c r="S120" s="4"/>
      <c r="T120" s="4"/>
      <c r="U120" s="4"/>
      <c r="V120" s="4"/>
      <c r="W120" s="4"/>
      <c r="X120" s="4"/>
      <c r="Y120" s="4"/>
      <c r="Z120" s="4"/>
    </row>
    <row r="121" spans="1:26">
      <c r="A121" s="65" t="s">
        <v>122</v>
      </c>
      <c r="B121" s="203">
        <f>IF(AND($H121="yes"),'Purchased Services Master'!$B$53,IF(AND($H$121="yes - no year 0"),0,0))</f>
        <v>0</v>
      </c>
      <c r="C121" s="203">
        <f>IF($H121="yes",'Purchased Services Master'!$B$53,IF($H121="yes - no year 0",'Purchased Services Master'!$B$53,0))</f>
        <v>0</v>
      </c>
      <c r="D121" s="203">
        <f>IF($H121="yes",'Purchased Services Master'!$B$53,IF($H121="yes - no year 0",'Purchased Services Master'!$B$53,0))</f>
        <v>0</v>
      </c>
      <c r="E121" s="203">
        <f>IF($H121="yes",'Purchased Services Master'!$B$53,IF($H121="yes - no year 0",'Purchased Services Master'!$B$53,0))</f>
        <v>0</v>
      </c>
      <c r="F121" s="203">
        <f>IF($H121="yes",'Purchased Services Master'!$B$53,IF($H121="yes - no year 0",'Purchased Services Master'!$B$53,0))</f>
        <v>0</v>
      </c>
      <c r="G121" s="203">
        <f>IF($H121="yes",'Purchased Services Master'!$B$53,IF($H121="yes - no year 0",'Purchased Services Master'!$B$53,0))</f>
        <v>0</v>
      </c>
      <c r="H121" s="217" t="s">
        <v>278</v>
      </c>
      <c r="I121" s="153"/>
      <c r="J121" s="196" t="str">
        <f>CONCATENATE("$",VLOOKUP(A121,'Purchased Services Master'!A:B,2,FALSE)," annually")</f>
        <v>$129 annually</v>
      </c>
      <c r="K121" s="4"/>
      <c r="L121" s="4"/>
      <c r="M121" s="4"/>
      <c r="N121" s="4"/>
      <c r="O121" s="4"/>
      <c r="P121" s="4"/>
      <c r="Q121" s="4"/>
      <c r="R121" s="4"/>
      <c r="S121" s="4"/>
      <c r="T121" s="4"/>
      <c r="U121" s="4"/>
      <c r="V121" s="4"/>
      <c r="W121" s="4"/>
      <c r="X121" s="4"/>
      <c r="Y121" s="4"/>
      <c r="Z121" s="4"/>
    </row>
    <row r="122" spans="1:26">
      <c r="A122" s="65" t="s">
        <v>123</v>
      </c>
      <c r="B122" s="203">
        <f>IF(AND($H122="yes"),'Purchased Services Master'!$B$54,IF(AND($H$122="yes - no year 0"),0,0))</f>
        <v>0</v>
      </c>
      <c r="C122" s="203">
        <f>IF($H122="yes",'Purchased Services Master'!$B$54,IF($H122="yes - no year 0",'Purchased Services Master'!$B$54,0))</f>
        <v>0</v>
      </c>
      <c r="D122" s="203">
        <f>IF($H122="yes",'Purchased Services Master'!$B$54,IF($H122="yes - no year 0",'Purchased Services Master'!$B$54,0))</f>
        <v>0</v>
      </c>
      <c r="E122" s="203">
        <f>IF($H122="yes",'Purchased Services Master'!$B$54,IF($H122="yes - no year 0",'Purchased Services Master'!$B$54,0))</f>
        <v>0</v>
      </c>
      <c r="F122" s="203">
        <f>IF($H122="yes",'Purchased Services Master'!$B$54,IF($H122="yes - no year 0",'Purchased Services Master'!$B$54,0))</f>
        <v>0</v>
      </c>
      <c r="G122" s="203">
        <f>IF($H122="yes",'Purchased Services Master'!$B$54,IF($H122="yes - no year 0",'Purchased Services Master'!$B$54,0))</f>
        <v>0</v>
      </c>
      <c r="H122" s="217" t="s">
        <v>278</v>
      </c>
      <c r="I122" s="153"/>
      <c r="J122" s="196" t="str">
        <f>CONCATENATE("$",VLOOKUP(A122,'Purchased Services Master'!A:B,2,FALSE)," annually")</f>
        <v>$534.7 annually</v>
      </c>
      <c r="K122" s="4"/>
      <c r="L122" s="4"/>
      <c r="M122" s="4"/>
      <c r="N122" s="4"/>
      <c r="O122" s="4"/>
      <c r="P122" s="4"/>
      <c r="Q122" s="4"/>
      <c r="R122" s="4"/>
      <c r="S122" s="4"/>
      <c r="T122" s="4"/>
      <c r="U122" s="4"/>
      <c r="V122" s="4"/>
      <c r="W122" s="4"/>
      <c r="X122" s="4"/>
      <c r="Y122" s="4"/>
      <c r="Z122" s="4"/>
    </row>
    <row r="123" spans="1:26">
      <c r="A123" s="65" t="s">
        <v>124</v>
      </c>
      <c r="B123" s="203">
        <f>IF(AND($H123="yes"),'Purchased Services Master'!$B$55,IF(AND($H$123="yes - no year 0"),0,0))</f>
        <v>0</v>
      </c>
      <c r="C123" s="203">
        <f>IF($H123="yes",'Purchased Services Master'!$B$55,IF($H123="yes - no year 0",'Purchased Services Master'!$B$55,0))</f>
        <v>0</v>
      </c>
      <c r="D123" s="203">
        <f>IF($H123="yes",'Purchased Services Master'!$B$55,IF($H123="yes - no year 0",'Purchased Services Master'!$B$55,0))</f>
        <v>0</v>
      </c>
      <c r="E123" s="203">
        <f>IF($H123="yes",'Purchased Services Master'!$B$55,IF($H123="yes - no year 0",'Purchased Services Master'!$B$55,0))</f>
        <v>0</v>
      </c>
      <c r="F123" s="203">
        <f>IF($H123="yes",'Purchased Services Master'!$B$55,IF($H123="yes - no year 0",'Purchased Services Master'!$B$55,0))</f>
        <v>0</v>
      </c>
      <c r="G123" s="203">
        <f>IF($H123="yes",'Purchased Services Master'!$B$55,IF($H123="yes - no year 0",'Purchased Services Master'!$B$55,0))</f>
        <v>0</v>
      </c>
      <c r="H123" s="217" t="s">
        <v>278</v>
      </c>
      <c r="I123" s="153"/>
      <c r="J123" s="196" t="str">
        <f>CONCATENATE("$",VLOOKUP(A123,'Purchased Services Master'!A:B,2,FALSE)," annually")</f>
        <v>$2199 annually</v>
      </c>
      <c r="K123" s="4"/>
      <c r="L123" s="4"/>
      <c r="M123" s="4"/>
      <c r="N123" s="4"/>
      <c r="O123" s="4"/>
      <c r="P123" s="4"/>
      <c r="Q123" s="4"/>
      <c r="R123" s="4"/>
      <c r="S123" s="4"/>
      <c r="T123" s="4"/>
      <c r="U123" s="4"/>
      <c r="V123" s="4"/>
      <c r="W123" s="4"/>
      <c r="X123" s="4"/>
      <c r="Y123" s="4"/>
      <c r="Z123" s="4"/>
    </row>
    <row r="124" spans="1:26">
      <c r="A124" s="65" t="s">
        <v>125</v>
      </c>
      <c r="B124" s="203">
        <f>IF(AND($H124="yes"),'Purchased Services Master'!$B$56,IF(AND($H124="yes - no year 0"),0,0))</f>
        <v>0</v>
      </c>
      <c r="C124" s="203">
        <f>IF($H124="yes",'Purchased Services Master'!$B$56,IF($H124="yes - no year 0",'Purchased Services Master'!$B$56,0))</f>
        <v>0</v>
      </c>
      <c r="D124" s="203">
        <f>IF($H124="yes",'Purchased Services Master'!$B$56,IF($H124="yes - no year 0",'Purchased Services Master'!$B$56,0))</f>
        <v>0</v>
      </c>
      <c r="E124" s="203">
        <f>IF($H124="yes",'Purchased Services Master'!$B$56,IF($H124="yes - no year 0",'Purchased Services Master'!$B$56,0))</f>
        <v>0</v>
      </c>
      <c r="F124" s="203">
        <f>IF($H124="yes",'Purchased Services Master'!$B$56,IF($H124="yes - no year 0",'Purchased Services Master'!$B$56,0))</f>
        <v>0</v>
      </c>
      <c r="G124" s="203">
        <f>IF($H124="yes",'Purchased Services Master'!$B$56,IF($H124="yes - no year 0",'Purchased Services Master'!$B$56,0))</f>
        <v>0</v>
      </c>
      <c r="H124" s="217" t="s">
        <v>278</v>
      </c>
      <c r="I124" s="153"/>
      <c r="J124" s="196" t="str">
        <f>CONCATENATE("$",VLOOKUP(A124,'Purchased Services Master'!A:B,2,FALSE)," annually")</f>
        <v>$549 annually</v>
      </c>
      <c r="K124" s="4"/>
      <c r="L124" s="4"/>
      <c r="M124" s="4"/>
      <c r="N124" s="4"/>
      <c r="O124" s="4"/>
      <c r="P124" s="4"/>
      <c r="Q124" s="4"/>
      <c r="R124" s="4"/>
      <c r="S124" s="4"/>
      <c r="T124" s="4"/>
      <c r="U124" s="4"/>
      <c r="V124" s="4"/>
      <c r="W124" s="4"/>
      <c r="X124" s="4"/>
      <c r="Y124" s="4"/>
      <c r="Z124" s="4"/>
    </row>
    <row r="125" spans="1:26">
      <c r="A125" s="65" t="s">
        <v>126</v>
      </c>
      <c r="B125" s="203">
        <f>IF(AND($H125="yes"),'Purchased Services Master'!$B$57,IF(AND($H125="yes - no year 0"),0,0))</f>
        <v>0</v>
      </c>
      <c r="C125" s="203">
        <f>IF($H125="yes",'Purchased Services Master'!$B$57,IF($H125="yes - no year 0",'Purchased Services Master'!$B$57,0))</f>
        <v>0</v>
      </c>
      <c r="D125" s="203">
        <f>IF($H125="yes",'Purchased Services Master'!$B$57,IF($H125="yes - no year 0",'Purchased Services Master'!$B$57,0))</f>
        <v>0</v>
      </c>
      <c r="E125" s="203">
        <f>IF($H125="yes",'Purchased Services Master'!$B$57,IF($H125="yes - no year 0",'Purchased Services Master'!$B$57,0))</f>
        <v>0</v>
      </c>
      <c r="F125" s="203">
        <f>IF($H125="yes",'Purchased Services Master'!$B$57,IF($H125="yes - no year 0",'Purchased Services Master'!$B$57,0))</f>
        <v>0</v>
      </c>
      <c r="G125" s="203">
        <f>IF($H125="yes",'Purchased Services Master'!$B$57,IF($H125="yes - no year 0",'Purchased Services Master'!$B$57,0))</f>
        <v>0</v>
      </c>
      <c r="H125" s="217" t="s">
        <v>278</v>
      </c>
      <c r="I125" s="153"/>
      <c r="J125" s="196" t="str">
        <f>CONCATENATE("$",VLOOKUP(A125,'Purchased Services Master'!A:B,2,FALSE)," annually")</f>
        <v>$321.85 annually</v>
      </c>
      <c r="K125" s="4"/>
      <c r="L125" s="4"/>
      <c r="M125" s="4"/>
      <c r="N125" s="4"/>
      <c r="O125" s="4"/>
      <c r="P125" s="4"/>
      <c r="Q125" s="4"/>
      <c r="R125" s="4"/>
      <c r="S125" s="4"/>
      <c r="T125" s="4"/>
      <c r="U125" s="4"/>
      <c r="V125" s="4"/>
      <c r="W125" s="4"/>
      <c r="X125" s="4"/>
      <c r="Y125" s="4"/>
      <c r="Z125" s="4"/>
    </row>
    <row r="126" spans="1:26">
      <c r="A126" s="65" t="s">
        <v>127</v>
      </c>
      <c r="B126" s="203">
        <f>IF(AND($H126="yes"),'Purchased Services Master'!$B58,IF(AND($H126="yes - no year 0"),0,0))</f>
        <v>0</v>
      </c>
      <c r="C126" s="203">
        <f>IF(B126=500,0,IF(AND($H126="yes"),'Purchased Services Master'!$B$58,IF(AND($H126="yes - no year 0"),'Purchased Services Master'!$B$58,0)))</f>
        <v>0</v>
      </c>
      <c r="D126" s="203">
        <f>IF(C126=500,0,IF(B126=500,0,IF(AND($H126="yes"),'Purchased Services Master'!$B$58,IF(AND($H126="yes - no year 0"),'Purchased Services Master'!$B$58,0))))</f>
        <v>0</v>
      </c>
      <c r="E126" s="203">
        <f>IF(D126=500,0,IF(B126=500,0,IF(C126=500,0,IF(AND($H126="yes"),'Purchased Services Master'!$B$58,IF(AND($H126="yes - no year 0"),'Purchased Services Master'!$B$58,0)))))</f>
        <v>0</v>
      </c>
      <c r="F126" s="203">
        <f>IF(E126=500,0,IF(B126=500,0,IF(C126=500,0,IF(AND($H126="yes"),'Purchased Services Master'!$B$58,IF(AND($H126="yes - no year 0"),'Purchased Services Master'!$B$58,0)))))</f>
        <v>0</v>
      </c>
      <c r="G126" s="203">
        <f>IF(F126=500,0,IF(B126=500,0,IF(C126=500,0,IF(AND($H126="yes"),'Purchased Services Master'!$B$58,IF(AND($H126="yes - no year 0"),'Purchased Services Master'!$B$58,0)))))</f>
        <v>0</v>
      </c>
      <c r="H126" s="217" t="s">
        <v>278</v>
      </c>
      <c r="I126" s="153"/>
      <c r="J126" s="196" t="str">
        <f>CONCATENATE("$",VLOOKUP(A126,'Purchased Services Master'!A:B,2,FALSE)," one time cost")</f>
        <v>$500 one time cost</v>
      </c>
      <c r="K126" s="4"/>
      <c r="L126" s="4"/>
      <c r="M126" s="4"/>
      <c r="N126" s="4"/>
      <c r="O126" s="4"/>
      <c r="P126" s="4"/>
      <c r="Q126" s="4"/>
      <c r="R126" s="4"/>
      <c r="S126" s="4"/>
      <c r="T126" s="4"/>
      <c r="U126" s="4"/>
      <c r="V126" s="4"/>
      <c r="W126" s="4"/>
      <c r="X126" s="4"/>
      <c r="Y126" s="4"/>
      <c r="Z126" s="4"/>
    </row>
    <row r="127" spans="1:26">
      <c r="A127" s="65" t="s">
        <v>128</v>
      </c>
      <c r="B127" s="203">
        <f>IF(AND($H127="yes"),'Purchased Services Master'!$B$59,IF(AND($H127="yes - no year 0"),0,0))</f>
        <v>0</v>
      </c>
      <c r="C127" s="203">
        <f>IF($H127="yes",'Purchased Services Master'!$B$59,IF($H127="yes - no year 0",'Purchased Services Master'!$B$59,0))</f>
        <v>0</v>
      </c>
      <c r="D127" s="203">
        <f>IF($H127="yes",'Purchased Services Master'!$B$59,IF($H127="yes - no year 0",'Purchased Services Master'!$B$59,0))</f>
        <v>0</v>
      </c>
      <c r="E127" s="203">
        <f>IF($H127="yes",'Purchased Services Master'!$B$59,IF($H127="yes - no year 0",'Purchased Services Master'!$B$59,0))</f>
        <v>0</v>
      </c>
      <c r="F127" s="203">
        <f>IF($H127="yes",'Purchased Services Master'!$B$59,IF($H127="yes - no year 0",'Purchased Services Master'!$B$59,0))</f>
        <v>0</v>
      </c>
      <c r="G127" s="203">
        <f>IF($H127="yes",'Purchased Services Master'!$B$59,IF($H127="yes - no year 0",'Purchased Services Master'!$B$59,0))</f>
        <v>0</v>
      </c>
      <c r="H127" s="217" t="s">
        <v>278</v>
      </c>
      <c r="I127" s="153"/>
      <c r="J127" s="196" t="str">
        <f>CONCATENATE("$",VLOOKUP(A127,'Purchased Services Master'!A:B,2,FALSE)," annually")</f>
        <v>$200 annually</v>
      </c>
      <c r="K127" s="4"/>
      <c r="L127" s="4"/>
      <c r="M127" s="4"/>
      <c r="N127" s="4"/>
      <c r="O127" s="4"/>
      <c r="P127" s="4"/>
      <c r="Q127" s="4"/>
      <c r="R127" s="4"/>
      <c r="S127" s="4"/>
      <c r="T127" s="4"/>
      <c r="U127" s="4"/>
      <c r="V127" s="4"/>
      <c r="W127" s="4"/>
      <c r="X127" s="4"/>
      <c r="Y127" s="4"/>
      <c r="Z127" s="4"/>
    </row>
    <row r="128" spans="1:26">
      <c r="A128" s="65" t="s">
        <v>129</v>
      </c>
      <c r="B128" s="216">
        <v>0</v>
      </c>
      <c r="C128" s="216">
        <v>0</v>
      </c>
      <c r="D128" s="216">
        <v>0</v>
      </c>
      <c r="E128" s="216">
        <v>0</v>
      </c>
      <c r="F128" s="216">
        <v>0</v>
      </c>
      <c r="G128" s="230">
        <v>0</v>
      </c>
      <c r="H128" s="217" t="s">
        <v>278</v>
      </c>
      <c r="I128" s="153"/>
      <c r="J128" s="231" t="str">
        <f>VLOOKUP(A128,'Purchased Services Master'!A:B,2,FALSE)</f>
        <v>$345 per school average</v>
      </c>
      <c r="K128" s="4"/>
      <c r="L128" s="4"/>
      <c r="M128" s="4"/>
      <c r="N128" s="4"/>
      <c r="O128" s="4"/>
      <c r="P128" s="4"/>
      <c r="Q128" s="4"/>
      <c r="R128" s="4"/>
      <c r="S128" s="4"/>
      <c r="T128" s="4"/>
      <c r="U128" s="4"/>
      <c r="V128" s="4"/>
      <c r="W128" s="4"/>
      <c r="X128" s="4"/>
      <c r="Y128" s="4"/>
      <c r="Z128" s="4"/>
    </row>
    <row r="129" spans="1:26">
      <c r="A129" s="65" t="s">
        <v>131</v>
      </c>
      <c r="B129" s="203">
        <f>IF(AND($H129="yes"),'Purchased Services Master'!$B$61*B$21,IF(AND($H$129="yes - no year 0"),0,0))</f>
        <v>0</v>
      </c>
      <c r="C129" s="203">
        <f>IF(AND($H129="yes"),'Purchased Services Master'!$B$61*C$21,IF(AND($H$129="yes - no year 0"),0,0))</f>
        <v>0</v>
      </c>
      <c r="D129" s="203">
        <f>IF(AND($H129="yes"),'Purchased Services Master'!$B$61*D$21,IF(AND($H$129="yes - no year 0"),0,0))</f>
        <v>0</v>
      </c>
      <c r="E129" s="203">
        <f>IF(AND($H129="yes"),'Purchased Services Master'!$B$61*E$21,IF(AND($H$129="yes - no year 0"),0,0))</f>
        <v>0</v>
      </c>
      <c r="F129" s="203">
        <f>IF(AND($H129="yes"),'Purchased Services Master'!$B$61*F$21,IF(AND($H$129="yes - no year 0"),0,0))</f>
        <v>0</v>
      </c>
      <c r="G129" s="203">
        <f>IF(AND($H129="yes"),'Purchased Services Master'!$B$61*G$21,IF(AND($H$129="yes - no year 0"),0,0))</f>
        <v>0</v>
      </c>
      <c r="H129" s="217" t="s">
        <v>278</v>
      </c>
      <c r="I129" s="153"/>
      <c r="J129" s="196" t="str">
        <f>CONCATENATE("$",VLOOKUP(A129,'Purchased Services Master'!A:B,2,FALSE)," per FTE")</f>
        <v>$0.52 per FTE</v>
      </c>
      <c r="K129" s="4"/>
      <c r="L129" s="4"/>
      <c r="M129" s="4"/>
      <c r="N129" s="4"/>
      <c r="O129" s="4"/>
      <c r="P129" s="4"/>
      <c r="Q129" s="4"/>
      <c r="R129" s="4"/>
      <c r="S129" s="4"/>
      <c r="T129" s="4"/>
      <c r="U129" s="4"/>
      <c r="V129" s="4"/>
      <c r="W129" s="4"/>
      <c r="X129" s="4"/>
      <c r="Y129" s="4"/>
      <c r="Z129" s="4"/>
    </row>
    <row r="130" spans="1:26">
      <c r="A130" s="65" t="s">
        <v>132</v>
      </c>
      <c r="B130" s="203">
        <f>IF(AND($H130="yes"),'Purchased Services Master'!$B$62,IF(AND($H130="yes - no year 0"),0,0))</f>
        <v>0</v>
      </c>
      <c r="C130" s="203">
        <f>IF($H130="yes",'Purchased Services Master'!$B$62,IF($H130="yes - no year 0",'Purchased Services Master'!$B$62,0))</f>
        <v>0</v>
      </c>
      <c r="D130" s="203">
        <f>IF($H130="yes",'Purchased Services Master'!$B$62,IF($H130="yes - no year 0",'Purchased Services Master'!$B$62,0))</f>
        <v>0</v>
      </c>
      <c r="E130" s="203">
        <f>IF($H130="yes",'Purchased Services Master'!$B$62,IF($H130="yes - no year 0",'Purchased Services Master'!$B$62,0))</f>
        <v>0</v>
      </c>
      <c r="F130" s="203">
        <f>IF($H130="yes",'Purchased Services Master'!$B$62,IF($H130="yes - no year 0",'Purchased Services Master'!$B$62,0))</f>
        <v>0</v>
      </c>
      <c r="G130" s="203">
        <f>IF($H130="yes",'Purchased Services Master'!$B$62,IF($H130="yes - no year 0",'Purchased Services Master'!$B$62,0))</f>
        <v>0</v>
      </c>
      <c r="H130" s="217" t="s">
        <v>278</v>
      </c>
      <c r="I130" s="153"/>
      <c r="J130" s="196" t="str">
        <f>CONCATENATE("$",VLOOKUP(A130,'Purchased Services Master'!A:B,2,FALSE)," annually")</f>
        <v>$1125 annually</v>
      </c>
      <c r="K130" s="4"/>
      <c r="L130" s="4"/>
      <c r="M130" s="4"/>
      <c r="N130" s="4"/>
      <c r="O130" s="4"/>
      <c r="P130" s="4"/>
      <c r="Q130" s="4"/>
      <c r="R130" s="4"/>
      <c r="S130" s="4"/>
      <c r="T130" s="4"/>
      <c r="U130" s="4"/>
      <c r="V130" s="4"/>
      <c r="W130" s="4"/>
      <c r="X130" s="4"/>
      <c r="Y130" s="4"/>
      <c r="Z130" s="4"/>
    </row>
    <row r="131" spans="1:26">
      <c r="A131" s="65" t="s">
        <v>133</v>
      </c>
      <c r="B131" s="203">
        <f>IF(AND($H131="yes"),'Purchased Services Master'!$B$63*B$21,IF(AND($H$131="yes - no year 0"),0,0))</f>
        <v>0</v>
      </c>
      <c r="C131" s="203">
        <f>IF(AND($H131="yes"),'Purchased Services Master'!$B$63*C$21,IF(AND($H$131="yes - no year 0"),0,0))</f>
        <v>0</v>
      </c>
      <c r="D131" s="203">
        <f>IF(AND($H131="yes"),'Purchased Services Master'!$B$63*D$21,IF(AND($H$131="yes - no year 0"),0,0))</f>
        <v>0</v>
      </c>
      <c r="E131" s="203">
        <f>IF(AND($H131="yes"),'Purchased Services Master'!$B$63*E$21,IF(AND($H$131="yes - no year 0"),0,0))</f>
        <v>0</v>
      </c>
      <c r="F131" s="203">
        <f>IF(AND($H131="yes"),'Purchased Services Master'!$B$63*F$21,IF(AND($H$131="yes - no year 0"),0,0))</f>
        <v>0</v>
      </c>
      <c r="G131" s="203">
        <f>IF(AND($H131="yes"),'Purchased Services Master'!$B$63*G$21,IF(AND($H$131="yes - no year 0"),0,0))</f>
        <v>0</v>
      </c>
      <c r="H131" s="217" t="s">
        <v>278</v>
      </c>
      <c r="I131" s="153"/>
      <c r="J131" s="196" t="str">
        <f>CONCATENATE("$",VLOOKUP(A131,'Purchased Services Master'!A:B,2,FALSE)," per FTE")</f>
        <v>$0.07 per FTE</v>
      </c>
      <c r="K131" s="4"/>
      <c r="L131" s="4"/>
      <c r="M131" s="4"/>
      <c r="N131" s="4"/>
      <c r="O131" s="4"/>
      <c r="P131" s="4"/>
      <c r="Q131" s="4"/>
      <c r="R131" s="4"/>
      <c r="S131" s="4"/>
      <c r="T131" s="4"/>
      <c r="U131" s="4"/>
      <c r="V131" s="4"/>
      <c r="W131" s="4"/>
      <c r="X131" s="4"/>
      <c r="Y131" s="4"/>
      <c r="Z131" s="4"/>
    </row>
    <row r="132" spans="1:26">
      <c r="A132" s="232" t="s">
        <v>134</v>
      </c>
      <c r="B132" s="221">
        <v>0</v>
      </c>
      <c r="C132" s="221">
        <v>0</v>
      </c>
      <c r="D132" s="221">
        <v>0</v>
      </c>
      <c r="E132" s="221">
        <v>0</v>
      </c>
      <c r="F132" s="221">
        <v>0</v>
      </c>
      <c r="G132" s="233">
        <v>0</v>
      </c>
      <c r="H132" s="219" t="s">
        <v>278</v>
      </c>
      <c r="I132" s="153"/>
      <c r="J132" s="208" t="str">
        <f>VLOOKUP(A132,'Purchased Services Master'!A:B,2,FALSE)</f>
        <v>Varies</v>
      </c>
      <c r="K132" s="4"/>
      <c r="L132" s="4"/>
      <c r="M132" s="4"/>
      <c r="N132" s="4"/>
      <c r="O132" s="4"/>
      <c r="P132" s="4"/>
      <c r="Q132" s="4"/>
      <c r="R132" s="4"/>
      <c r="S132" s="4"/>
      <c r="T132" s="4"/>
      <c r="U132" s="4"/>
      <c r="V132" s="4"/>
      <c r="W132" s="4"/>
      <c r="X132" s="4"/>
      <c r="Y132" s="4"/>
      <c r="Z132" s="4"/>
    </row>
    <row r="133" spans="1:26">
      <c r="A133" s="9"/>
      <c r="B133" s="198"/>
      <c r="C133" s="97"/>
      <c r="D133" s="97"/>
      <c r="E133" s="220"/>
      <c r="F133" s="220"/>
      <c r="G133" s="220"/>
      <c r="H133" s="220"/>
      <c r="I133" s="213"/>
      <c r="J133" s="67"/>
      <c r="K133" s="4"/>
      <c r="L133" s="4"/>
      <c r="M133" s="4"/>
      <c r="N133" s="4"/>
      <c r="O133" s="4"/>
      <c r="P133" s="4"/>
      <c r="Q133" s="4"/>
      <c r="R133" s="4"/>
      <c r="S133" s="4"/>
      <c r="T133" s="4"/>
      <c r="U133" s="4"/>
      <c r="V133" s="4"/>
      <c r="W133" s="4"/>
      <c r="X133" s="4"/>
      <c r="Y133" s="4"/>
      <c r="Z133" s="4"/>
    </row>
    <row r="134" spans="1:26">
      <c r="A134" s="314" t="s">
        <v>215</v>
      </c>
      <c r="B134" s="299"/>
      <c r="C134" s="299"/>
      <c r="D134" s="299"/>
      <c r="E134" s="299"/>
      <c r="F134" s="299"/>
      <c r="G134" s="299"/>
      <c r="H134" s="299"/>
      <c r="I134" s="300"/>
      <c r="J134" s="223"/>
      <c r="K134" s="4"/>
      <c r="L134" s="4"/>
      <c r="M134" s="4"/>
      <c r="N134" s="4"/>
      <c r="O134" s="4"/>
      <c r="P134" s="4"/>
      <c r="Q134" s="4"/>
      <c r="R134" s="4"/>
      <c r="S134" s="4"/>
      <c r="T134" s="4"/>
      <c r="U134" s="4"/>
      <c r="V134" s="4"/>
      <c r="W134" s="4"/>
      <c r="X134" s="4"/>
      <c r="Y134" s="4"/>
      <c r="Z134" s="4"/>
    </row>
    <row r="135" spans="1:26">
      <c r="A135" s="148" t="s">
        <v>136</v>
      </c>
      <c r="B135" s="222">
        <f>IF(AND($H135="yes"),'Purchased Services Master'!$B$66,IF(AND($H135="yes - no year 0"),0,0))</f>
        <v>0</v>
      </c>
      <c r="C135" s="222">
        <f>IF(AND($H135="yes"),'Purchased Services Master'!$B$66,IF(AND($H135="yes - no year 0"),'Purchased Services Master'!$B$66,0))</f>
        <v>0</v>
      </c>
      <c r="D135" s="222">
        <f>IF(AND($H135="yes"),'Purchased Services Master'!$B$66,IF(AND($H135="yes - no year 0"),'Purchased Services Master'!$B$66,0))</f>
        <v>0</v>
      </c>
      <c r="E135" s="222">
        <f>IF(AND($H135="yes"),'Purchased Services Master'!$B$66,IF(AND($H135="yes - no year 0"),'Purchased Services Master'!$B$66,0))</f>
        <v>0</v>
      </c>
      <c r="F135" s="222">
        <f>IF(AND($H135="yes"),'Purchased Services Master'!$B$66,IF(AND($H135="yes - no year 0"),'Purchased Services Master'!$B$66,0))</f>
        <v>0</v>
      </c>
      <c r="G135" s="222">
        <f>IF(AND($H135="yes"),'Purchased Services Master'!$B$66,IF(AND($H135="yes - no year 0"),'Purchased Services Master'!$B$66,0))</f>
        <v>0</v>
      </c>
      <c r="H135" s="215" t="s">
        <v>278</v>
      </c>
      <c r="I135" s="153"/>
      <c r="J135" s="196" t="str">
        <f>CONCATENATE("$",VLOOKUP(A135,'Purchased Services Master'!A:B,2,FALSE)," per year")</f>
        <v>$12050 per year</v>
      </c>
      <c r="K135" s="4"/>
      <c r="L135" s="4"/>
      <c r="M135" s="4"/>
      <c r="N135" s="4"/>
      <c r="O135" s="4"/>
      <c r="P135" s="4"/>
      <c r="Q135" s="4"/>
      <c r="R135" s="4"/>
      <c r="S135" s="4"/>
      <c r="T135" s="4"/>
      <c r="U135" s="4"/>
      <c r="V135" s="4"/>
      <c r="W135" s="4"/>
      <c r="X135" s="4"/>
      <c r="Y135" s="4"/>
      <c r="Z135" s="4"/>
    </row>
    <row r="136" spans="1:26">
      <c r="A136" s="159" t="s">
        <v>137</v>
      </c>
      <c r="B136" s="211">
        <f>IF(AND($H136="yes"),'Purchased Services Master'!$B$67,IF(AND($H136="yes - no year 0"),0,0))</f>
        <v>0</v>
      </c>
      <c r="C136" s="211">
        <f>IF(AND($H136="yes"),'Purchased Services Master'!$B$67,IF(AND($H136="yes - no year 0"),'Purchased Services Master'!$B$67,0))</f>
        <v>0</v>
      </c>
      <c r="D136" s="211">
        <f>IF(AND($H136="yes"),'Purchased Services Master'!$B$67,IF(AND($H136="yes - no year 0"),'Purchased Services Master'!$B$67,0))</f>
        <v>0</v>
      </c>
      <c r="E136" s="211">
        <f>IF(AND($H136="yes"),'Purchased Services Master'!$B$67,IF(AND($H136="yes - no year 0"),'Purchased Services Master'!$B$67,0))</f>
        <v>0</v>
      </c>
      <c r="F136" s="211">
        <f>IF(AND($H136="yes"),'Purchased Services Master'!$B$67,IF(AND($H136="yes - no year 0"),'Purchased Services Master'!$B$67,0))</f>
        <v>0</v>
      </c>
      <c r="G136" s="211">
        <f>IF(AND($H136="yes"),'Purchased Services Master'!$B$67,IF(AND($H136="yes - no year 0"),'Purchased Services Master'!$B$67,0))</f>
        <v>0</v>
      </c>
      <c r="H136" s="219" t="s">
        <v>278</v>
      </c>
      <c r="I136" s="153"/>
      <c r="J136" s="196" t="str">
        <f>CONCATENATE("$",VLOOKUP(A136,'Purchased Services Master'!A:B,2,FALSE)," (Estimate) per year")</f>
        <v>$60000 (Estimate) per year</v>
      </c>
      <c r="K136" s="4"/>
      <c r="L136" s="4"/>
      <c r="M136" s="4"/>
      <c r="N136" s="4"/>
      <c r="O136" s="4"/>
      <c r="P136" s="4"/>
      <c r="Q136" s="4"/>
      <c r="R136" s="4"/>
      <c r="S136" s="4"/>
      <c r="T136" s="4"/>
      <c r="U136" s="4"/>
      <c r="V136" s="4"/>
      <c r="W136" s="4"/>
      <c r="X136" s="4"/>
      <c r="Y136" s="4"/>
      <c r="Z136" s="4"/>
    </row>
    <row r="137" spans="1:26">
      <c r="A137" s="48"/>
      <c r="B137" s="198"/>
      <c r="C137" s="97"/>
      <c r="D137" s="97"/>
      <c r="E137" s="97"/>
      <c r="F137" s="97"/>
      <c r="G137" s="199"/>
      <c r="H137" s="97"/>
      <c r="I137" s="154"/>
      <c r="J137" s="67"/>
      <c r="K137" s="4"/>
      <c r="L137" s="4"/>
      <c r="M137" s="4"/>
      <c r="N137" s="4"/>
      <c r="O137" s="4"/>
      <c r="P137" s="4"/>
      <c r="Q137" s="4"/>
      <c r="R137" s="4"/>
      <c r="S137" s="4"/>
      <c r="T137" s="4"/>
      <c r="U137" s="4"/>
      <c r="V137" s="4"/>
      <c r="W137" s="4"/>
      <c r="X137" s="4"/>
      <c r="Y137" s="4"/>
      <c r="Z137" s="4"/>
    </row>
    <row r="138" spans="1:26">
      <c r="A138" s="314" t="s">
        <v>217</v>
      </c>
      <c r="B138" s="299"/>
      <c r="C138" s="299"/>
      <c r="D138" s="299"/>
      <c r="E138" s="299"/>
      <c r="F138" s="299"/>
      <c r="G138" s="299"/>
      <c r="H138" s="299"/>
      <c r="I138" s="300"/>
      <c r="J138" s="223"/>
      <c r="K138" s="4"/>
      <c r="L138" s="4"/>
      <c r="M138" s="4"/>
      <c r="N138" s="4"/>
      <c r="O138" s="4"/>
      <c r="P138" s="4"/>
      <c r="Q138" s="4"/>
      <c r="R138" s="4"/>
      <c r="S138" s="4"/>
      <c r="T138" s="4"/>
      <c r="U138" s="4"/>
      <c r="V138" s="4"/>
      <c r="W138" s="4"/>
      <c r="X138" s="4"/>
      <c r="Y138" s="4"/>
      <c r="Z138" s="4"/>
    </row>
    <row r="139" spans="1:26">
      <c r="A139" s="148" t="s">
        <v>218</v>
      </c>
      <c r="B139" s="150">
        <v>0</v>
      </c>
      <c r="C139" s="150">
        <v>5500</v>
      </c>
      <c r="D139" s="150">
        <v>5500</v>
      </c>
      <c r="E139" s="150">
        <v>7000</v>
      </c>
      <c r="F139" s="150">
        <v>7000</v>
      </c>
      <c r="G139" s="150">
        <v>7000</v>
      </c>
      <c r="H139" s="215" t="s">
        <v>276</v>
      </c>
      <c r="I139" s="153"/>
      <c r="J139" s="67"/>
      <c r="K139" s="4"/>
      <c r="L139" s="4"/>
      <c r="M139" s="4"/>
      <c r="N139" s="4"/>
      <c r="O139" s="4"/>
      <c r="P139" s="4"/>
      <c r="Q139" s="4"/>
      <c r="R139" s="4"/>
      <c r="S139" s="4"/>
      <c r="T139" s="4"/>
      <c r="U139" s="4"/>
      <c r="V139" s="4"/>
      <c r="W139" s="4"/>
      <c r="X139" s="4"/>
      <c r="Y139" s="4"/>
      <c r="Z139" s="4"/>
    </row>
    <row r="140" spans="1:26">
      <c r="A140" s="154" t="s">
        <v>219</v>
      </c>
      <c r="B140" s="156">
        <v>0</v>
      </c>
      <c r="C140" s="156">
        <v>15000</v>
      </c>
      <c r="D140" s="156">
        <v>15000</v>
      </c>
      <c r="E140" s="156">
        <v>15000</v>
      </c>
      <c r="F140" s="156">
        <v>15000</v>
      </c>
      <c r="G140" s="156">
        <v>15000</v>
      </c>
      <c r="H140" s="217" t="s">
        <v>276</v>
      </c>
      <c r="I140" s="153"/>
      <c r="J140" s="67"/>
      <c r="K140" s="4"/>
      <c r="L140" s="4"/>
      <c r="M140" s="4"/>
      <c r="N140" s="4"/>
      <c r="O140" s="4"/>
      <c r="P140" s="4"/>
      <c r="Q140" s="4"/>
      <c r="R140" s="4"/>
      <c r="S140" s="4"/>
      <c r="T140" s="4"/>
      <c r="U140" s="4"/>
      <c r="V140" s="4"/>
      <c r="W140" s="4"/>
      <c r="X140" s="4"/>
      <c r="Y140" s="4"/>
      <c r="Z140" s="4"/>
    </row>
    <row r="141" spans="1:26">
      <c r="A141" s="154" t="s">
        <v>220</v>
      </c>
      <c r="B141" s="156">
        <v>0</v>
      </c>
      <c r="C141" s="156">
        <v>15000</v>
      </c>
      <c r="D141" s="156">
        <v>15000</v>
      </c>
      <c r="E141" s="156">
        <v>15000</v>
      </c>
      <c r="F141" s="156">
        <v>15000</v>
      </c>
      <c r="G141" s="156">
        <v>15000</v>
      </c>
      <c r="H141" s="217" t="s">
        <v>276</v>
      </c>
      <c r="I141" s="153"/>
      <c r="J141" s="67"/>
      <c r="K141" s="4"/>
      <c r="L141" s="4"/>
      <c r="M141" s="4"/>
      <c r="N141" s="4"/>
      <c r="O141" s="4"/>
      <c r="P141" s="4"/>
      <c r="Q141" s="4"/>
      <c r="R141" s="4"/>
      <c r="S141" s="4"/>
      <c r="T141" s="4"/>
      <c r="U141" s="4"/>
      <c r="V141" s="4"/>
      <c r="W141" s="4"/>
      <c r="X141" s="4"/>
      <c r="Y141" s="4"/>
      <c r="Z141" s="4"/>
    </row>
    <row r="142" spans="1:26">
      <c r="A142" s="154" t="s">
        <v>221</v>
      </c>
      <c r="B142" s="156">
        <v>0</v>
      </c>
      <c r="C142" s="156">
        <v>15000</v>
      </c>
      <c r="D142" s="156">
        <v>15000</v>
      </c>
      <c r="E142" s="156">
        <v>25000</v>
      </c>
      <c r="F142" s="156">
        <v>25000</v>
      </c>
      <c r="G142" s="156">
        <v>25000</v>
      </c>
      <c r="H142" s="217" t="s">
        <v>276</v>
      </c>
      <c r="I142" s="153"/>
      <c r="J142" s="67"/>
      <c r="K142" s="4"/>
      <c r="L142" s="4"/>
      <c r="M142" s="4"/>
      <c r="N142" s="4"/>
      <c r="O142" s="4"/>
      <c r="P142" s="4"/>
      <c r="Q142" s="4"/>
      <c r="R142" s="4"/>
      <c r="S142" s="4"/>
      <c r="T142" s="4"/>
      <c r="U142" s="4"/>
      <c r="V142" s="4"/>
      <c r="W142" s="4"/>
      <c r="X142" s="4"/>
      <c r="Y142" s="4"/>
      <c r="Z142" s="4"/>
    </row>
    <row r="143" spans="1:26">
      <c r="A143" s="154" t="s">
        <v>222</v>
      </c>
      <c r="B143" s="156">
        <v>0</v>
      </c>
      <c r="C143" s="156">
        <v>90000</v>
      </c>
      <c r="D143" s="156">
        <v>90000</v>
      </c>
      <c r="E143" s="156">
        <v>125000</v>
      </c>
      <c r="F143" s="156">
        <v>125000</v>
      </c>
      <c r="G143" s="156">
        <v>125000</v>
      </c>
      <c r="H143" s="217" t="s">
        <v>276</v>
      </c>
      <c r="I143" s="153"/>
      <c r="J143" s="67"/>
      <c r="K143" s="4"/>
      <c r="L143" s="4"/>
      <c r="M143" s="4"/>
      <c r="N143" s="4"/>
      <c r="O143" s="4"/>
      <c r="P143" s="4"/>
      <c r="Q143" s="4"/>
      <c r="R143" s="4"/>
      <c r="S143" s="4"/>
      <c r="T143" s="4"/>
      <c r="U143" s="4"/>
      <c r="V143" s="4"/>
      <c r="W143" s="4"/>
      <c r="X143" s="4"/>
      <c r="Y143" s="4"/>
      <c r="Z143" s="4"/>
    </row>
    <row r="144" spans="1:26">
      <c r="A144" s="154" t="s">
        <v>223</v>
      </c>
      <c r="B144" s="156">
        <v>0</v>
      </c>
      <c r="C144" s="156">
        <v>2500</v>
      </c>
      <c r="D144" s="156">
        <v>2500</v>
      </c>
      <c r="E144" s="156">
        <v>2500</v>
      </c>
      <c r="F144" s="156">
        <v>2500</v>
      </c>
      <c r="G144" s="156">
        <v>2500</v>
      </c>
      <c r="H144" s="217" t="s">
        <v>276</v>
      </c>
      <c r="I144" s="153"/>
      <c r="J144" s="67"/>
      <c r="K144" s="4"/>
      <c r="L144" s="4"/>
      <c r="M144" s="4"/>
      <c r="N144" s="4"/>
      <c r="O144" s="4"/>
      <c r="P144" s="4"/>
      <c r="Q144" s="4"/>
      <c r="R144" s="4"/>
      <c r="S144" s="4"/>
      <c r="T144" s="4"/>
      <c r="U144" s="4"/>
      <c r="V144" s="4"/>
      <c r="W144" s="4"/>
      <c r="X144" s="4"/>
      <c r="Y144" s="4"/>
      <c r="Z144" s="4"/>
    </row>
    <row r="145" spans="1:26">
      <c r="A145" s="154" t="s">
        <v>224</v>
      </c>
      <c r="B145" s="156">
        <v>0</v>
      </c>
      <c r="C145" s="156">
        <v>6000</v>
      </c>
      <c r="D145" s="156">
        <v>6000</v>
      </c>
      <c r="E145" s="156">
        <v>6000</v>
      </c>
      <c r="F145" s="156">
        <v>6000</v>
      </c>
      <c r="G145" s="156">
        <v>6000</v>
      </c>
      <c r="H145" s="217" t="s">
        <v>276</v>
      </c>
      <c r="I145" s="153"/>
      <c r="J145" s="67"/>
      <c r="K145" s="4"/>
      <c r="L145" s="4"/>
      <c r="M145" s="4"/>
      <c r="N145" s="4"/>
      <c r="O145" s="4"/>
      <c r="P145" s="4"/>
      <c r="Q145" s="4"/>
      <c r="R145" s="4"/>
      <c r="S145" s="4"/>
      <c r="T145" s="4"/>
      <c r="U145" s="4"/>
      <c r="V145" s="4"/>
      <c r="W145" s="4"/>
      <c r="X145" s="4"/>
      <c r="Y145" s="4"/>
      <c r="Z145" s="4"/>
    </row>
    <row r="146" spans="1:26">
      <c r="A146" s="154" t="s">
        <v>225</v>
      </c>
      <c r="B146" s="156">
        <v>0</v>
      </c>
      <c r="C146" s="156">
        <f>8000*10</f>
        <v>80000</v>
      </c>
      <c r="D146" s="156">
        <v>80000</v>
      </c>
      <c r="E146" s="156">
        <v>100000</v>
      </c>
      <c r="F146" s="156">
        <v>100000</v>
      </c>
      <c r="G146" s="156">
        <v>100000</v>
      </c>
      <c r="H146" s="217" t="s">
        <v>276</v>
      </c>
      <c r="I146" s="153" t="s">
        <v>464</v>
      </c>
      <c r="J146" s="67"/>
      <c r="K146" s="4"/>
      <c r="L146" s="4"/>
      <c r="M146" s="4"/>
      <c r="N146" s="4"/>
      <c r="O146" s="4"/>
      <c r="P146" s="4"/>
      <c r="Q146" s="4"/>
      <c r="R146" s="4"/>
      <c r="S146" s="4"/>
      <c r="T146" s="4"/>
      <c r="U146" s="4"/>
      <c r="V146" s="4"/>
      <c r="W146" s="4"/>
      <c r="X146" s="4"/>
      <c r="Y146" s="4"/>
      <c r="Z146" s="4"/>
    </row>
    <row r="147" spans="1:26">
      <c r="A147" s="154" t="s">
        <v>329</v>
      </c>
      <c r="B147" s="47"/>
      <c r="C147" s="47"/>
      <c r="D147" s="47"/>
      <c r="E147" s="47"/>
      <c r="F147" s="47"/>
      <c r="G147" s="47"/>
      <c r="H147" s="217" t="s">
        <v>276</v>
      </c>
      <c r="I147" s="153"/>
      <c r="J147" s="67" t="s">
        <v>330</v>
      </c>
      <c r="K147" s="4"/>
      <c r="L147" s="4"/>
      <c r="M147" s="4"/>
      <c r="N147" s="4"/>
      <c r="O147" s="4"/>
      <c r="P147" s="4"/>
      <c r="Q147" s="4"/>
      <c r="R147" s="4"/>
      <c r="S147" s="4"/>
      <c r="T147" s="4"/>
      <c r="U147" s="4"/>
      <c r="V147" s="4"/>
      <c r="W147" s="4"/>
      <c r="X147" s="4"/>
      <c r="Y147" s="4"/>
      <c r="Z147" s="4"/>
    </row>
    <row r="148" spans="1:26">
      <c r="A148" s="154" t="s">
        <v>331</v>
      </c>
      <c r="B148" s="47"/>
      <c r="C148" s="47"/>
      <c r="D148" s="47"/>
      <c r="E148" s="47"/>
      <c r="F148" s="47"/>
      <c r="G148" s="47"/>
      <c r="H148" s="217" t="s">
        <v>276</v>
      </c>
      <c r="I148" s="267" t="s">
        <v>465</v>
      </c>
      <c r="J148" s="67" t="s">
        <v>332</v>
      </c>
      <c r="K148" s="4"/>
      <c r="L148" s="4"/>
      <c r="M148" s="4"/>
      <c r="N148" s="4"/>
      <c r="O148" s="4"/>
      <c r="P148" s="4"/>
      <c r="Q148" s="4"/>
      <c r="R148" s="4"/>
      <c r="S148" s="4"/>
      <c r="T148" s="4"/>
      <c r="U148" s="4"/>
      <c r="V148" s="4"/>
      <c r="W148" s="4"/>
      <c r="X148" s="4"/>
      <c r="Y148" s="4"/>
      <c r="Z148" s="4"/>
    </row>
    <row r="149" spans="1:26">
      <c r="A149" s="154" t="s">
        <v>226</v>
      </c>
      <c r="B149" s="29"/>
      <c r="C149" s="29">
        <v>1215000</v>
      </c>
      <c r="D149" s="29">
        <v>1620000</v>
      </c>
      <c r="E149" s="29">
        <v>1812038</v>
      </c>
      <c r="F149" s="29">
        <v>1809819</v>
      </c>
      <c r="G149" s="29">
        <v>1811901</v>
      </c>
      <c r="H149" s="217" t="s">
        <v>276</v>
      </c>
      <c r="I149" s="153"/>
      <c r="J149" s="4" t="s">
        <v>333</v>
      </c>
      <c r="K149" s="4"/>
      <c r="L149" s="4"/>
      <c r="M149" s="4"/>
      <c r="N149" s="4"/>
      <c r="O149" s="4"/>
      <c r="P149" s="4"/>
      <c r="Q149" s="4"/>
      <c r="R149" s="4"/>
      <c r="S149" s="4"/>
      <c r="T149" s="4"/>
      <c r="U149" s="4"/>
      <c r="V149" s="4"/>
      <c r="W149" s="4"/>
      <c r="X149" s="4"/>
      <c r="Y149" s="4"/>
      <c r="Z149" s="4"/>
    </row>
    <row r="150" spans="1:26">
      <c r="A150" s="154" t="s">
        <v>334</v>
      </c>
      <c r="B150" s="47"/>
      <c r="C150" s="47"/>
      <c r="D150" s="47"/>
      <c r="E150" s="47"/>
      <c r="F150" s="47"/>
      <c r="G150" s="47"/>
      <c r="H150" s="217" t="s">
        <v>276</v>
      </c>
      <c r="I150" s="153"/>
      <c r="J150" s="67" t="s">
        <v>335</v>
      </c>
      <c r="K150" s="4"/>
      <c r="L150" s="4"/>
      <c r="M150" s="4"/>
      <c r="N150" s="4"/>
      <c r="O150" s="4"/>
      <c r="P150" s="4"/>
      <c r="Q150" s="4"/>
      <c r="R150" s="4"/>
      <c r="S150" s="4"/>
      <c r="T150" s="4"/>
      <c r="U150" s="4"/>
      <c r="V150" s="4"/>
      <c r="W150" s="4"/>
      <c r="X150" s="4"/>
      <c r="Y150" s="4"/>
      <c r="Z150" s="4"/>
    </row>
    <row r="151" spans="1:26">
      <c r="A151" s="154" t="s">
        <v>227</v>
      </c>
      <c r="B151" s="47"/>
      <c r="C151" s="47"/>
      <c r="D151" s="47"/>
      <c r="E151" s="47"/>
      <c r="F151" s="47"/>
      <c r="G151" s="47"/>
      <c r="H151" s="217" t="s">
        <v>276</v>
      </c>
      <c r="I151" s="153"/>
      <c r="J151" s="67"/>
      <c r="K151" s="4"/>
      <c r="L151" s="4"/>
      <c r="M151" s="4"/>
      <c r="N151" s="4"/>
      <c r="O151" s="4"/>
      <c r="P151" s="4"/>
      <c r="Q151" s="4"/>
      <c r="R151" s="4"/>
      <c r="S151" s="4"/>
      <c r="T151" s="4"/>
      <c r="U151" s="4"/>
      <c r="V151" s="4"/>
      <c r="W151" s="4"/>
      <c r="X151" s="4"/>
      <c r="Y151" s="4"/>
      <c r="Z151" s="4"/>
    </row>
    <row r="152" spans="1:26">
      <c r="A152" s="154" t="s">
        <v>228</v>
      </c>
      <c r="B152" s="156">
        <v>0</v>
      </c>
      <c r="C152" s="156">
        <v>0</v>
      </c>
      <c r="D152" s="156">
        <v>0</v>
      </c>
      <c r="E152" s="156">
        <v>0</v>
      </c>
      <c r="F152" s="156">
        <v>0</v>
      </c>
      <c r="G152" s="156">
        <v>0</v>
      </c>
      <c r="H152" s="217" t="s">
        <v>276</v>
      </c>
      <c r="I152" s="153"/>
      <c r="J152" s="67"/>
      <c r="K152" s="4"/>
      <c r="L152" s="4"/>
      <c r="M152" s="4"/>
      <c r="N152" s="4"/>
      <c r="O152" s="4"/>
      <c r="P152" s="4"/>
      <c r="Q152" s="4"/>
      <c r="R152" s="4"/>
      <c r="S152" s="4"/>
      <c r="T152" s="4"/>
      <c r="U152" s="4"/>
      <c r="V152" s="4"/>
      <c r="W152" s="4"/>
      <c r="X152" s="4"/>
      <c r="Y152" s="4"/>
      <c r="Z152" s="4"/>
    </row>
    <row r="153" spans="1:26">
      <c r="A153" s="154" t="s">
        <v>229</v>
      </c>
      <c r="B153" s="156">
        <v>0</v>
      </c>
      <c r="C153" s="156">
        <v>30000</v>
      </c>
      <c r="D153" s="268">
        <v>35000</v>
      </c>
      <c r="E153" s="268">
        <v>45000</v>
      </c>
      <c r="F153" s="268">
        <v>50000</v>
      </c>
      <c r="G153" s="268">
        <v>55000</v>
      </c>
      <c r="H153" s="217" t="s">
        <v>276</v>
      </c>
      <c r="I153" s="267" t="s">
        <v>466</v>
      </c>
      <c r="J153" s="67"/>
      <c r="K153" s="4"/>
      <c r="L153" s="4"/>
      <c r="M153" s="4"/>
      <c r="N153" s="4"/>
      <c r="O153" s="4"/>
      <c r="P153" s="4"/>
      <c r="Q153" s="4"/>
      <c r="R153" s="4"/>
      <c r="S153" s="4"/>
      <c r="T153" s="4"/>
      <c r="U153" s="4"/>
      <c r="V153" s="4"/>
      <c r="W153" s="4"/>
      <c r="X153" s="4"/>
      <c r="Y153" s="4"/>
      <c r="Z153" s="4"/>
    </row>
    <row r="154" spans="1:26">
      <c r="A154" s="154" t="s">
        <v>230</v>
      </c>
      <c r="B154" s="156">
        <v>0</v>
      </c>
      <c r="C154" s="156">
        <v>50000</v>
      </c>
      <c r="D154" s="268">
        <v>64000</v>
      </c>
      <c r="E154" s="268">
        <v>70000</v>
      </c>
      <c r="F154" s="268">
        <v>72000</v>
      </c>
      <c r="G154" s="268">
        <v>72000</v>
      </c>
      <c r="H154" s="217" t="s">
        <v>276</v>
      </c>
      <c r="I154" s="267" t="s">
        <v>466</v>
      </c>
      <c r="J154" s="67"/>
      <c r="K154" s="4"/>
      <c r="L154" s="4"/>
      <c r="M154" s="4"/>
      <c r="N154" s="4"/>
      <c r="O154" s="4"/>
      <c r="P154" s="4"/>
      <c r="Q154" s="4"/>
      <c r="R154" s="4"/>
      <c r="S154" s="4"/>
      <c r="T154" s="4"/>
      <c r="U154" s="4"/>
      <c r="V154" s="4"/>
      <c r="W154" s="4"/>
      <c r="X154" s="4"/>
      <c r="Y154" s="4"/>
      <c r="Z154" s="4"/>
    </row>
    <row r="155" spans="1:26">
      <c r="A155" s="154" t="s">
        <v>231</v>
      </c>
      <c r="B155" s="156">
        <v>0</v>
      </c>
      <c r="C155" s="156">
        <v>14400</v>
      </c>
      <c r="D155" s="268">
        <v>11500</v>
      </c>
      <c r="E155" s="268">
        <v>12500</v>
      </c>
      <c r="F155" s="268">
        <v>13500</v>
      </c>
      <c r="G155" s="268">
        <v>14500</v>
      </c>
      <c r="H155" s="217" t="s">
        <v>276</v>
      </c>
      <c r="I155" s="267" t="s">
        <v>466</v>
      </c>
      <c r="J155" s="67"/>
      <c r="K155" s="4"/>
      <c r="L155" s="4"/>
      <c r="M155" s="4"/>
      <c r="N155" s="4"/>
      <c r="O155" s="4"/>
      <c r="P155" s="4"/>
      <c r="Q155" s="4"/>
      <c r="R155" s="4"/>
      <c r="S155" s="4"/>
      <c r="T155" s="4"/>
      <c r="U155" s="4"/>
      <c r="V155" s="4"/>
      <c r="W155" s="4"/>
      <c r="X155" s="4"/>
      <c r="Y155" s="4"/>
      <c r="Z155" s="4"/>
    </row>
    <row r="156" spans="1:26">
      <c r="A156" s="154" t="s">
        <v>232</v>
      </c>
      <c r="B156" s="156">
        <v>0</v>
      </c>
      <c r="C156" s="156">
        <v>1200</v>
      </c>
      <c r="D156" s="268">
        <v>1250</v>
      </c>
      <c r="E156" s="268">
        <v>1350</v>
      </c>
      <c r="F156" s="268">
        <v>1450</v>
      </c>
      <c r="G156" s="268">
        <v>1500</v>
      </c>
      <c r="H156" s="217" t="s">
        <v>276</v>
      </c>
      <c r="I156" s="267" t="s">
        <v>466</v>
      </c>
      <c r="J156" s="67"/>
      <c r="K156" s="4"/>
      <c r="L156" s="4"/>
      <c r="M156" s="4"/>
      <c r="N156" s="4"/>
      <c r="O156" s="4"/>
      <c r="P156" s="4"/>
      <c r="Q156" s="4"/>
      <c r="R156" s="4"/>
      <c r="S156" s="4"/>
      <c r="T156" s="4"/>
      <c r="U156" s="4"/>
      <c r="V156" s="4"/>
      <c r="W156" s="4"/>
      <c r="X156" s="4"/>
      <c r="Y156" s="4"/>
      <c r="Z156" s="4"/>
    </row>
    <row r="157" spans="1:26">
      <c r="A157" s="154" t="s">
        <v>233</v>
      </c>
      <c r="B157" s="156">
        <v>0</v>
      </c>
      <c r="C157" s="156">
        <v>15000</v>
      </c>
      <c r="D157" s="268">
        <v>15000</v>
      </c>
      <c r="E157" s="268">
        <v>18000</v>
      </c>
      <c r="F157" s="268">
        <v>21000</v>
      </c>
      <c r="G157" s="268">
        <v>23000</v>
      </c>
      <c r="H157" s="217" t="s">
        <v>276</v>
      </c>
      <c r="I157" s="267" t="s">
        <v>466</v>
      </c>
      <c r="J157" s="67"/>
      <c r="K157" s="4"/>
      <c r="L157" s="4"/>
      <c r="M157" s="4"/>
      <c r="N157" s="4"/>
      <c r="O157" s="4"/>
      <c r="P157" s="4"/>
      <c r="Q157" s="4"/>
      <c r="R157" s="4"/>
      <c r="S157" s="4"/>
      <c r="T157" s="4"/>
      <c r="U157" s="4"/>
      <c r="V157" s="4"/>
      <c r="W157" s="4"/>
      <c r="X157" s="4"/>
      <c r="Y157" s="4"/>
      <c r="Z157" s="4"/>
    </row>
    <row r="158" spans="1:26">
      <c r="A158" s="154" t="s">
        <v>234</v>
      </c>
      <c r="B158" s="156">
        <v>0</v>
      </c>
      <c r="C158" s="156">
        <v>15000</v>
      </c>
      <c r="D158" s="268">
        <v>15000</v>
      </c>
      <c r="E158" s="268">
        <v>15000</v>
      </c>
      <c r="F158" s="268">
        <v>15000</v>
      </c>
      <c r="G158" s="269">
        <v>15000</v>
      </c>
      <c r="H158" s="234" t="s">
        <v>276</v>
      </c>
      <c r="I158" s="267" t="s">
        <v>466</v>
      </c>
      <c r="J158" s="67"/>
      <c r="K158" s="4"/>
      <c r="L158" s="4"/>
      <c r="M158" s="4"/>
      <c r="N158" s="4"/>
      <c r="O158" s="4"/>
      <c r="P158" s="4"/>
      <c r="Q158" s="4"/>
      <c r="R158" s="4"/>
      <c r="S158" s="4"/>
      <c r="T158" s="4"/>
      <c r="U158" s="4"/>
      <c r="V158" s="4"/>
      <c r="W158" s="4"/>
      <c r="X158" s="4"/>
      <c r="Y158" s="4"/>
      <c r="Z158" s="4"/>
    </row>
    <row r="159" spans="1:26">
      <c r="A159" s="154" t="s">
        <v>235</v>
      </c>
      <c r="B159" s="156">
        <v>0</v>
      </c>
      <c r="C159" s="156">
        <v>3000</v>
      </c>
      <c r="D159" s="268">
        <v>4000</v>
      </c>
      <c r="E159" s="268">
        <v>5000</v>
      </c>
      <c r="F159" s="268">
        <v>6000</v>
      </c>
      <c r="G159" s="269">
        <v>6500</v>
      </c>
      <c r="H159" s="234" t="s">
        <v>276</v>
      </c>
      <c r="I159" s="267" t="s">
        <v>466</v>
      </c>
      <c r="J159" s="67"/>
      <c r="K159" s="4"/>
      <c r="L159" s="4"/>
      <c r="M159" s="4"/>
      <c r="N159" s="4"/>
      <c r="O159" s="4"/>
      <c r="P159" s="4"/>
      <c r="Q159" s="4"/>
      <c r="R159" s="4"/>
      <c r="S159" s="4"/>
      <c r="T159" s="4"/>
      <c r="U159" s="4"/>
      <c r="V159" s="4"/>
      <c r="W159" s="4"/>
      <c r="X159" s="4"/>
      <c r="Y159" s="4"/>
      <c r="Z159" s="4"/>
    </row>
    <row r="160" spans="1:26">
      <c r="A160" s="154" t="s">
        <v>236</v>
      </c>
      <c r="B160" s="156">
        <v>0</v>
      </c>
      <c r="C160" s="156">
        <v>10000</v>
      </c>
      <c r="D160" s="268">
        <v>1100</v>
      </c>
      <c r="E160" s="268">
        <v>1100</v>
      </c>
      <c r="F160" s="268">
        <v>1100</v>
      </c>
      <c r="G160" s="269">
        <v>1100</v>
      </c>
      <c r="H160" s="234" t="s">
        <v>276</v>
      </c>
      <c r="I160" s="267" t="s">
        <v>466</v>
      </c>
      <c r="J160" s="67"/>
      <c r="K160" s="4"/>
      <c r="L160" s="4"/>
      <c r="M160" s="4"/>
      <c r="N160" s="4"/>
      <c r="O160" s="4"/>
      <c r="P160" s="4"/>
      <c r="Q160" s="4"/>
      <c r="R160" s="4"/>
      <c r="S160" s="4"/>
      <c r="T160" s="4"/>
      <c r="U160" s="4"/>
      <c r="V160" s="4"/>
      <c r="W160" s="4"/>
      <c r="X160" s="4"/>
      <c r="Y160" s="4"/>
      <c r="Z160" s="4"/>
    </row>
    <row r="161" spans="1:26">
      <c r="A161" s="154" t="s">
        <v>237</v>
      </c>
      <c r="B161" s="156">
        <v>0</v>
      </c>
      <c r="C161" s="156">
        <v>10000</v>
      </c>
      <c r="D161" s="268">
        <v>10000</v>
      </c>
      <c r="E161" s="268">
        <v>10000</v>
      </c>
      <c r="F161" s="268">
        <v>10000</v>
      </c>
      <c r="G161" s="269">
        <v>10000</v>
      </c>
      <c r="H161" s="234" t="s">
        <v>276</v>
      </c>
      <c r="I161" s="153"/>
      <c r="J161" s="67"/>
      <c r="K161" s="4"/>
      <c r="L161" s="4"/>
      <c r="M161" s="4"/>
      <c r="N161" s="4"/>
      <c r="O161" s="4"/>
      <c r="P161" s="4"/>
      <c r="Q161" s="4"/>
      <c r="R161" s="4"/>
      <c r="S161" s="4"/>
      <c r="T161" s="4"/>
      <c r="U161" s="4"/>
      <c r="V161" s="4"/>
      <c r="W161" s="4"/>
      <c r="X161" s="4"/>
      <c r="Y161" s="4"/>
      <c r="Z161" s="4"/>
    </row>
    <row r="162" spans="1:26">
      <c r="A162" s="235" t="s">
        <v>467</v>
      </c>
      <c r="B162" s="156">
        <v>0</v>
      </c>
      <c r="C162" s="268">
        <v>37000</v>
      </c>
      <c r="D162" s="268">
        <v>44000</v>
      </c>
      <c r="E162" s="268">
        <v>54000</v>
      </c>
      <c r="F162" s="268">
        <v>57000</v>
      </c>
      <c r="G162" s="268">
        <v>68000</v>
      </c>
      <c r="H162" s="217" t="s">
        <v>276</v>
      </c>
      <c r="I162" s="153" t="s">
        <v>483</v>
      </c>
      <c r="J162" s="67" t="s">
        <v>336</v>
      </c>
      <c r="K162" s="4"/>
      <c r="L162" s="4"/>
      <c r="M162" s="4"/>
      <c r="N162" s="4"/>
      <c r="O162" s="4"/>
      <c r="P162" s="4"/>
      <c r="Q162" s="4"/>
      <c r="R162" s="4"/>
      <c r="S162" s="4"/>
      <c r="T162" s="4"/>
      <c r="U162" s="4"/>
      <c r="V162" s="4"/>
      <c r="W162" s="4"/>
      <c r="X162" s="4"/>
      <c r="Y162" s="4"/>
      <c r="Z162" s="4"/>
    </row>
    <row r="163" spans="1:26">
      <c r="A163" s="235" t="s">
        <v>468</v>
      </c>
      <c r="B163" s="156">
        <v>0</v>
      </c>
      <c r="C163" s="268">
        <v>12500</v>
      </c>
      <c r="D163" s="268">
        <v>12500</v>
      </c>
      <c r="E163" s="268">
        <v>12500</v>
      </c>
      <c r="F163" s="268">
        <v>12500</v>
      </c>
      <c r="G163" s="268">
        <v>12500</v>
      </c>
      <c r="H163" s="217" t="s">
        <v>276</v>
      </c>
      <c r="I163" s="153"/>
      <c r="J163" s="67" t="s">
        <v>336</v>
      </c>
      <c r="K163" s="4"/>
      <c r="L163" s="4"/>
      <c r="M163" s="4"/>
      <c r="N163" s="4"/>
      <c r="O163" s="4"/>
      <c r="P163" s="4"/>
      <c r="Q163" s="4"/>
      <c r="R163" s="4"/>
      <c r="S163" s="4"/>
      <c r="T163" s="4"/>
      <c r="U163" s="4"/>
      <c r="V163" s="4"/>
      <c r="W163" s="4"/>
      <c r="X163" s="4"/>
      <c r="Y163" s="4"/>
      <c r="Z163" s="4"/>
    </row>
    <row r="164" spans="1:26">
      <c r="A164" s="235" t="s">
        <v>469</v>
      </c>
      <c r="B164" s="156">
        <v>0</v>
      </c>
      <c r="C164" s="268">
        <v>12000</v>
      </c>
      <c r="D164" s="268">
        <v>18000</v>
      </c>
      <c r="E164" s="268">
        <v>21000</v>
      </c>
      <c r="F164" s="268">
        <v>25000</v>
      </c>
      <c r="G164" s="268">
        <v>28000</v>
      </c>
      <c r="H164" s="217" t="s">
        <v>276</v>
      </c>
      <c r="I164" s="153"/>
      <c r="J164" s="67" t="s">
        <v>336</v>
      </c>
      <c r="K164" s="4"/>
      <c r="L164" s="4"/>
      <c r="M164" s="4"/>
      <c r="N164" s="4"/>
      <c r="O164" s="4"/>
      <c r="P164" s="4"/>
      <c r="Q164" s="4"/>
      <c r="R164" s="4"/>
      <c r="S164" s="4"/>
      <c r="T164" s="4"/>
      <c r="U164" s="4"/>
      <c r="V164" s="4"/>
      <c r="W164" s="4"/>
      <c r="X164" s="4"/>
      <c r="Y164" s="4"/>
      <c r="Z164" s="4"/>
    </row>
    <row r="165" spans="1:26">
      <c r="A165" s="235" t="s">
        <v>33</v>
      </c>
      <c r="B165" s="156">
        <v>0</v>
      </c>
      <c r="C165" s="268"/>
      <c r="D165" s="268"/>
      <c r="E165" s="268"/>
      <c r="F165" s="268"/>
      <c r="G165" s="268"/>
      <c r="H165" s="217" t="s">
        <v>276</v>
      </c>
      <c r="I165" s="153"/>
      <c r="J165" s="67" t="s">
        <v>336</v>
      </c>
      <c r="K165" s="4"/>
      <c r="L165" s="4"/>
      <c r="M165" s="4"/>
      <c r="N165" s="4"/>
      <c r="O165" s="4"/>
      <c r="P165" s="4"/>
      <c r="Q165" s="4"/>
      <c r="R165" s="4"/>
      <c r="S165" s="4"/>
      <c r="T165" s="4"/>
      <c r="U165" s="4"/>
      <c r="V165" s="4"/>
      <c r="W165" s="4"/>
      <c r="X165" s="4"/>
      <c r="Y165" s="4"/>
      <c r="Z165" s="4"/>
    </row>
    <row r="166" spans="1:26">
      <c r="A166" s="235" t="s">
        <v>470</v>
      </c>
      <c r="B166" s="156">
        <v>0</v>
      </c>
      <c r="C166" s="268">
        <f>(1500*12)+2000</f>
        <v>20000</v>
      </c>
      <c r="D166" s="268">
        <v>30000</v>
      </c>
      <c r="E166" s="268">
        <v>30000</v>
      </c>
      <c r="F166" s="268">
        <v>30000</v>
      </c>
      <c r="G166" s="268">
        <v>30000</v>
      </c>
      <c r="H166" s="217" t="s">
        <v>276</v>
      </c>
      <c r="I166" s="153"/>
      <c r="J166" s="67" t="s">
        <v>336</v>
      </c>
      <c r="K166" s="4"/>
      <c r="L166" s="4"/>
      <c r="M166" s="4"/>
      <c r="N166" s="4"/>
      <c r="O166" s="4"/>
      <c r="P166" s="4"/>
      <c r="Q166" s="4"/>
      <c r="R166" s="4"/>
      <c r="S166" s="4"/>
      <c r="T166" s="4"/>
      <c r="U166" s="4"/>
      <c r="V166" s="4"/>
      <c r="W166" s="4"/>
      <c r="X166" s="4"/>
      <c r="Y166" s="4"/>
      <c r="Z166" s="4"/>
    </row>
    <row r="167" spans="1:26">
      <c r="A167" s="235" t="s">
        <v>471</v>
      </c>
      <c r="B167" s="156">
        <v>0</v>
      </c>
      <c r="C167" s="268">
        <f>40000+20000+35000+5000</f>
        <v>100000</v>
      </c>
      <c r="D167" s="268">
        <v>150000</v>
      </c>
      <c r="E167" s="268">
        <v>200000</v>
      </c>
      <c r="F167" s="268">
        <v>215000</v>
      </c>
      <c r="G167" s="268">
        <v>225000</v>
      </c>
      <c r="H167" s="217" t="s">
        <v>276</v>
      </c>
      <c r="I167" s="153" t="s">
        <v>472</v>
      </c>
      <c r="J167" s="67" t="s">
        <v>336</v>
      </c>
      <c r="K167" s="4"/>
      <c r="L167" s="4"/>
      <c r="M167" s="4"/>
      <c r="N167" s="4"/>
      <c r="O167" s="4"/>
      <c r="P167" s="4"/>
      <c r="Q167" s="4"/>
      <c r="R167" s="4"/>
      <c r="S167" s="4"/>
      <c r="T167" s="4"/>
      <c r="U167" s="4"/>
      <c r="V167" s="4"/>
      <c r="W167" s="4"/>
      <c r="X167" s="4"/>
      <c r="Y167" s="4"/>
      <c r="Z167" s="4"/>
    </row>
    <row r="168" spans="1:26">
      <c r="A168" s="235" t="s">
        <v>33</v>
      </c>
      <c r="B168" s="156">
        <v>0</v>
      </c>
      <c r="C168" s="156">
        <v>0</v>
      </c>
      <c r="D168" s="156">
        <v>0</v>
      </c>
      <c r="E168" s="156">
        <v>0</v>
      </c>
      <c r="F168" s="156">
        <v>0</v>
      </c>
      <c r="G168" s="156">
        <v>0</v>
      </c>
      <c r="H168" s="217" t="s">
        <v>276</v>
      </c>
      <c r="I168" s="153"/>
      <c r="J168" s="67" t="s">
        <v>336</v>
      </c>
      <c r="K168" s="4"/>
      <c r="L168" s="4"/>
      <c r="M168" s="4"/>
      <c r="N168" s="4"/>
      <c r="O168" s="4"/>
      <c r="P168" s="4"/>
      <c r="Q168" s="4"/>
      <c r="R168" s="4"/>
      <c r="S168" s="4"/>
      <c r="T168" s="4"/>
      <c r="U168" s="4"/>
      <c r="V168" s="4"/>
      <c r="W168" s="4"/>
      <c r="X168" s="4"/>
      <c r="Y168" s="4"/>
      <c r="Z168" s="4"/>
    </row>
    <row r="169" spans="1:26">
      <c r="A169" s="236" t="s">
        <v>33</v>
      </c>
      <c r="B169" s="160">
        <v>0</v>
      </c>
      <c r="C169" s="160">
        <v>0</v>
      </c>
      <c r="D169" s="160">
        <v>0</v>
      </c>
      <c r="E169" s="160">
        <v>0</v>
      </c>
      <c r="F169" s="160">
        <v>0</v>
      </c>
      <c r="G169" s="189">
        <v>0</v>
      </c>
      <c r="H169" s="219" t="s">
        <v>276</v>
      </c>
      <c r="I169" s="153"/>
      <c r="J169" s="67" t="s">
        <v>336</v>
      </c>
      <c r="K169" s="4"/>
      <c r="L169" s="4"/>
      <c r="M169" s="4"/>
      <c r="N169" s="4"/>
      <c r="O169" s="4"/>
      <c r="P169" s="4"/>
      <c r="Q169" s="4"/>
      <c r="R169" s="4"/>
      <c r="S169" s="4"/>
      <c r="T169" s="4"/>
      <c r="U169" s="4"/>
      <c r="V169" s="4"/>
      <c r="W169" s="4"/>
      <c r="X169" s="4"/>
      <c r="Y169" s="4"/>
      <c r="Z169" s="4"/>
    </row>
    <row r="170" spans="1:26">
      <c r="A170" s="9"/>
      <c r="B170" s="198"/>
      <c r="C170" s="97"/>
      <c r="D170" s="97"/>
      <c r="E170" s="97"/>
      <c r="F170" s="97"/>
      <c r="G170" s="199"/>
      <c r="H170" s="199"/>
      <c r="I170" s="9"/>
      <c r="J170" s="67"/>
      <c r="K170" s="4"/>
      <c r="L170" s="4"/>
      <c r="M170" s="4"/>
      <c r="N170" s="4"/>
      <c r="O170" s="4"/>
      <c r="P170" s="4"/>
      <c r="Q170" s="4"/>
      <c r="R170" s="4"/>
      <c r="S170" s="4"/>
      <c r="T170" s="4"/>
      <c r="U170" s="4"/>
      <c r="V170" s="4"/>
      <c r="W170" s="4"/>
      <c r="X170" s="4"/>
      <c r="Y170" s="4"/>
      <c r="Z170" s="4"/>
    </row>
    <row r="171" spans="1:26">
      <c r="A171" s="314" t="s">
        <v>239</v>
      </c>
      <c r="B171" s="299"/>
      <c r="C171" s="299"/>
      <c r="D171" s="299"/>
      <c r="E171" s="299"/>
      <c r="F171" s="299"/>
      <c r="G171" s="299"/>
      <c r="H171" s="299"/>
      <c r="I171" s="300"/>
      <c r="J171" s="67"/>
      <c r="K171" s="4"/>
      <c r="L171" s="4"/>
      <c r="M171" s="4"/>
      <c r="N171" s="4"/>
      <c r="O171" s="4"/>
      <c r="P171" s="4"/>
      <c r="Q171" s="4"/>
      <c r="R171" s="4"/>
      <c r="S171" s="4"/>
      <c r="T171" s="4"/>
      <c r="U171" s="4"/>
      <c r="V171" s="4"/>
      <c r="W171" s="4"/>
      <c r="X171" s="4"/>
      <c r="Y171" s="4"/>
      <c r="Z171" s="4"/>
    </row>
    <row r="172" spans="1:26">
      <c r="A172" s="148" t="s">
        <v>240</v>
      </c>
      <c r="B172" s="150">
        <v>0</v>
      </c>
      <c r="C172" s="150">
        <v>55000</v>
      </c>
      <c r="D172" s="270">
        <v>65000</v>
      </c>
      <c r="E172" s="270">
        <v>80000</v>
      </c>
      <c r="F172" s="270">
        <v>80000</v>
      </c>
      <c r="G172" s="270">
        <v>80000</v>
      </c>
      <c r="H172" s="237"/>
      <c r="I172" s="267" t="s">
        <v>473</v>
      </c>
      <c r="J172" s="67" t="s">
        <v>305</v>
      </c>
      <c r="K172" s="4"/>
      <c r="L172" s="4"/>
      <c r="M172" s="4"/>
      <c r="N172" s="4"/>
      <c r="O172" s="4"/>
      <c r="P172" s="4"/>
      <c r="Q172" s="4"/>
      <c r="R172" s="4"/>
      <c r="S172" s="4"/>
      <c r="T172" s="4"/>
      <c r="U172" s="4"/>
      <c r="V172" s="4"/>
      <c r="W172" s="4"/>
      <c r="X172" s="4"/>
      <c r="Y172" s="4"/>
      <c r="Z172" s="4"/>
    </row>
    <row r="173" spans="1:26">
      <c r="A173" s="154" t="s">
        <v>241</v>
      </c>
      <c r="B173" s="156">
        <v>0</v>
      </c>
      <c r="C173" s="156">
        <v>15000</v>
      </c>
      <c r="D173" s="268">
        <v>20000</v>
      </c>
      <c r="E173" s="268">
        <v>26000</v>
      </c>
      <c r="F173" s="268">
        <v>28000</v>
      </c>
      <c r="G173" s="268">
        <v>30000</v>
      </c>
      <c r="H173" s="206"/>
      <c r="I173" s="267"/>
      <c r="J173" s="67" t="s">
        <v>305</v>
      </c>
      <c r="K173" s="4"/>
      <c r="L173" s="4"/>
      <c r="M173" s="4"/>
      <c r="N173" s="4"/>
      <c r="O173" s="4"/>
      <c r="P173" s="4"/>
      <c r="Q173" s="4"/>
      <c r="R173" s="4"/>
      <c r="S173" s="4"/>
      <c r="T173" s="4"/>
      <c r="U173" s="4"/>
      <c r="V173" s="4"/>
      <c r="W173" s="4"/>
      <c r="X173" s="4"/>
      <c r="Y173" s="4"/>
      <c r="Z173" s="4"/>
    </row>
    <row r="174" spans="1:26">
      <c r="A174" s="154" t="s">
        <v>242</v>
      </c>
      <c r="B174" s="156">
        <v>0</v>
      </c>
      <c r="C174" s="156">
        <v>15000</v>
      </c>
      <c r="D174" s="268">
        <v>40000</v>
      </c>
      <c r="E174" s="268">
        <v>50000</v>
      </c>
      <c r="F174" s="268">
        <v>50000</v>
      </c>
      <c r="G174" s="268">
        <v>50000</v>
      </c>
      <c r="H174" s="206"/>
      <c r="I174" s="267" t="s">
        <v>474</v>
      </c>
      <c r="J174" s="67" t="s">
        <v>305</v>
      </c>
      <c r="K174" s="4"/>
      <c r="L174" s="4"/>
      <c r="M174" s="4"/>
      <c r="N174" s="4"/>
      <c r="O174" s="4"/>
      <c r="P174" s="4"/>
      <c r="Q174" s="4"/>
      <c r="R174" s="4"/>
      <c r="S174" s="4"/>
      <c r="T174" s="4"/>
      <c r="U174" s="4"/>
      <c r="V174" s="4"/>
      <c r="W174" s="4"/>
      <c r="X174" s="4"/>
      <c r="Y174" s="4"/>
      <c r="Z174" s="4"/>
    </row>
    <row r="175" spans="1:26">
      <c r="A175" s="154" t="s">
        <v>243</v>
      </c>
      <c r="B175" s="156">
        <v>0</v>
      </c>
      <c r="C175" s="156">
        <v>7500</v>
      </c>
      <c r="D175" s="268">
        <v>8500</v>
      </c>
      <c r="E175" s="268">
        <v>10500</v>
      </c>
      <c r="F175" s="268">
        <v>11000</v>
      </c>
      <c r="G175" s="268">
        <v>11500</v>
      </c>
      <c r="H175" s="206"/>
      <c r="I175" s="267" t="s">
        <v>475</v>
      </c>
      <c r="J175" s="67" t="s">
        <v>305</v>
      </c>
      <c r="K175" s="4"/>
      <c r="L175" s="4"/>
      <c r="M175" s="4"/>
      <c r="N175" s="4"/>
      <c r="O175" s="4"/>
      <c r="P175" s="4"/>
      <c r="Q175" s="4"/>
      <c r="R175" s="4"/>
      <c r="S175" s="4"/>
      <c r="T175" s="4"/>
      <c r="U175" s="4"/>
      <c r="V175" s="4"/>
      <c r="W175" s="4"/>
      <c r="X175" s="4"/>
      <c r="Y175" s="4"/>
      <c r="Z175" s="4"/>
    </row>
    <row r="176" spans="1:26">
      <c r="A176" s="159" t="s">
        <v>244</v>
      </c>
      <c r="B176" s="160">
        <v>0</v>
      </c>
      <c r="C176" s="160">
        <v>0</v>
      </c>
      <c r="D176" s="160">
        <v>0</v>
      </c>
      <c r="E176" s="160">
        <v>0</v>
      </c>
      <c r="F176" s="160">
        <v>0</v>
      </c>
      <c r="G176" s="160">
        <v>0</v>
      </c>
      <c r="H176" s="238"/>
      <c r="I176" s="153"/>
      <c r="J176" s="67" t="s">
        <v>305</v>
      </c>
      <c r="K176" s="4"/>
      <c r="L176" s="4"/>
      <c r="M176" s="4"/>
      <c r="N176" s="4"/>
      <c r="O176" s="4"/>
      <c r="P176" s="4"/>
      <c r="Q176" s="4"/>
      <c r="R176" s="4"/>
      <c r="S176" s="4"/>
      <c r="T176" s="4"/>
      <c r="U176" s="4"/>
      <c r="V176" s="4"/>
      <c r="W176" s="4"/>
      <c r="X176" s="4"/>
      <c r="Y176" s="4"/>
      <c r="Z176" s="4"/>
    </row>
    <row r="177" spans="1:26">
      <c r="A177" s="9"/>
      <c r="B177" s="198"/>
      <c r="C177" s="97"/>
      <c r="D177" s="97"/>
      <c r="E177" s="97"/>
      <c r="F177" s="97"/>
      <c r="G177" s="199"/>
      <c r="H177" s="199"/>
      <c r="I177" s="9"/>
      <c r="J177" s="67"/>
      <c r="K177" s="4"/>
      <c r="L177" s="4"/>
      <c r="M177" s="4"/>
      <c r="N177" s="4"/>
      <c r="O177" s="4"/>
      <c r="P177" s="4"/>
      <c r="Q177" s="4"/>
      <c r="R177" s="4"/>
      <c r="S177" s="4"/>
      <c r="T177" s="4"/>
      <c r="U177" s="4"/>
      <c r="V177" s="4"/>
      <c r="W177" s="4"/>
      <c r="X177" s="4"/>
      <c r="Y177" s="4"/>
      <c r="Z177" s="4"/>
    </row>
    <row r="178" spans="1:26">
      <c r="A178" s="314" t="s">
        <v>246</v>
      </c>
      <c r="B178" s="299"/>
      <c r="C178" s="299"/>
      <c r="D178" s="299"/>
      <c r="E178" s="299"/>
      <c r="F178" s="299"/>
      <c r="G178" s="299"/>
      <c r="H178" s="299"/>
      <c r="I178" s="300"/>
      <c r="J178" s="67"/>
      <c r="K178" s="4"/>
      <c r="L178" s="4"/>
      <c r="M178" s="4"/>
      <c r="N178" s="4"/>
      <c r="O178" s="4"/>
      <c r="P178" s="4"/>
      <c r="Q178" s="4"/>
      <c r="R178" s="4"/>
      <c r="S178" s="4"/>
      <c r="T178" s="4"/>
      <c r="U178" s="4"/>
      <c r="V178" s="4"/>
      <c r="W178" s="4"/>
      <c r="X178" s="4"/>
      <c r="Y178" s="4"/>
      <c r="Z178" s="4"/>
    </row>
    <row r="179" spans="1:26">
      <c r="A179" s="148" t="s">
        <v>247</v>
      </c>
      <c r="B179" s="150">
        <v>0</v>
      </c>
      <c r="C179" s="150">
        <v>2500</v>
      </c>
      <c r="D179" s="150">
        <v>2500</v>
      </c>
      <c r="E179" s="150">
        <v>2500</v>
      </c>
      <c r="F179" s="150">
        <v>2500</v>
      </c>
      <c r="G179" s="150">
        <v>2500</v>
      </c>
      <c r="H179" s="237"/>
      <c r="I179" s="267" t="s">
        <v>476</v>
      </c>
      <c r="J179" s="67" t="s">
        <v>305</v>
      </c>
      <c r="K179" s="4"/>
      <c r="L179" s="4"/>
      <c r="M179" s="4"/>
      <c r="N179" s="4"/>
      <c r="O179" s="4"/>
      <c r="P179" s="4"/>
      <c r="Q179" s="4"/>
      <c r="R179" s="4"/>
      <c r="S179" s="4"/>
      <c r="T179" s="4"/>
      <c r="U179" s="4"/>
      <c r="V179" s="4"/>
      <c r="W179" s="4"/>
      <c r="X179" s="4"/>
      <c r="Y179" s="4"/>
      <c r="Z179" s="4"/>
    </row>
    <row r="180" spans="1:26">
      <c r="A180" s="154" t="s">
        <v>248</v>
      </c>
      <c r="B180" s="156">
        <v>0</v>
      </c>
      <c r="C180" s="156">
        <v>0</v>
      </c>
      <c r="D180" s="156">
        <v>0</v>
      </c>
      <c r="E180" s="156">
        <v>0</v>
      </c>
      <c r="F180" s="156">
        <v>0</v>
      </c>
      <c r="G180" s="156">
        <v>0</v>
      </c>
      <c r="H180" s="206"/>
      <c r="I180" s="267" t="s">
        <v>477</v>
      </c>
      <c r="J180" s="67" t="s">
        <v>305</v>
      </c>
      <c r="K180" s="4"/>
      <c r="L180" s="4"/>
      <c r="M180" s="4"/>
      <c r="N180" s="4"/>
      <c r="O180" s="4"/>
      <c r="P180" s="4"/>
      <c r="Q180" s="4"/>
      <c r="R180" s="4"/>
      <c r="S180" s="4"/>
      <c r="T180" s="4"/>
      <c r="U180" s="4"/>
      <c r="V180" s="4"/>
      <c r="W180" s="4"/>
      <c r="X180" s="4"/>
      <c r="Y180" s="4"/>
      <c r="Z180" s="4"/>
    </row>
    <row r="181" spans="1:26">
      <c r="A181" s="154" t="s">
        <v>249</v>
      </c>
      <c r="B181" s="156">
        <v>0</v>
      </c>
      <c r="C181" s="156">
        <v>0</v>
      </c>
      <c r="D181" s="156">
        <v>0</v>
      </c>
      <c r="E181" s="156">
        <v>0</v>
      </c>
      <c r="F181" s="156">
        <v>0</v>
      </c>
      <c r="G181" s="156">
        <v>0</v>
      </c>
      <c r="H181" s="206"/>
      <c r="I181" s="153"/>
      <c r="J181" s="67" t="s">
        <v>305</v>
      </c>
      <c r="K181" s="4"/>
      <c r="L181" s="4"/>
      <c r="M181" s="4"/>
      <c r="N181" s="4"/>
      <c r="O181" s="4"/>
      <c r="P181" s="4"/>
      <c r="Q181" s="4"/>
      <c r="R181" s="4"/>
      <c r="S181" s="4"/>
      <c r="T181" s="4"/>
      <c r="U181" s="4"/>
      <c r="V181" s="4"/>
      <c r="W181" s="4"/>
      <c r="X181" s="4"/>
      <c r="Y181" s="4"/>
      <c r="Z181" s="4"/>
    </row>
    <row r="182" spans="1:26">
      <c r="A182" s="159" t="s">
        <v>250</v>
      </c>
      <c r="B182" s="160">
        <v>0</v>
      </c>
      <c r="C182" s="160">
        <v>2500</v>
      </c>
      <c r="D182" s="160">
        <v>2500</v>
      </c>
      <c r="E182" s="160">
        <v>2500</v>
      </c>
      <c r="F182" s="160">
        <v>2500</v>
      </c>
      <c r="G182" s="160">
        <v>2500</v>
      </c>
      <c r="H182" s="238"/>
      <c r="I182" s="153"/>
      <c r="J182" s="67" t="s">
        <v>305</v>
      </c>
      <c r="K182" s="4"/>
      <c r="L182" s="4"/>
      <c r="M182" s="4"/>
      <c r="N182" s="4"/>
      <c r="O182" s="4"/>
      <c r="P182" s="4"/>
      <c r="Q182" s="4"/>
      <c r="R182" s="4"/>
      <c r="S182" s="4"/>
      <c r="T182" s="4"/>
      <c r="U182" s="4"/>
      <c r="V182" s="4"/>
      <c r="W182" s="4"/>
      <c r="X182" s="4"/>
      <c r="Y182" s="4"/>
      <c r="Z182" s="4"/>
    </row>
    <row r="183" spans="1:26">
      <c r="A183" s="9"/>
      <c r="B183" s="198"/>
      <c r="C183" s="97"/>
      <c r="D183" s="97"/>
      <c r="E183" s="97"/>
      <c r="F183" s="97"/>
      <c r="G183" s="199"/>
      <c r="H183" s="199"/>
      <c r="I183" s="9"/>
      <c r="J183" s="67"/>
      <c r="K183" s="4"/>
      <c r="L183" s="4"/>
      <c r="M183" s="4"/>
      <c r="N183" s="4"/>
      <c r="O183" s="4"/>
      <c r="P183" s="4"/>
      <c r="Q183" s="4"/>
      <c r="R183" s="4"/>
      <c r="S183" s="4"/>
      <c r="T183" s="4"/>
      <c r="U183" s="4"/>
      <c r="V183" s="4"/>
      <c r="W183" s="4"/>
      <c r="X183" s="4"/>
      <c r="Y183" s="4"/>
      <c r="Z183" s="4"/>
    </row>
    <row r="184" spans="1:26">
      <c r="A184" s="314" t="s">
        <v>252</v>
      </c>
      <c r="B184" s="299"/>
      <c r="C184" s="299"/>
      <c r="D184" s="299"/>
      <c r="E184" s="299"/>
      <c r="F184" s="299"/>
      <c r="G184" s="299"/>
      <c r="H184" s="299"/>
      <c r="I184" s="300"/>
      <c r="J184" s="67"/>
      <c r="K184" s="4"/>
      <c r="L184" s="4"/>
      <c r="M184" s="4"/>
      <c r="N184" s="4"/>
      <c r="O184" s="4"/>
      <c r="P184" s="4"/>
      <c r="Q184" s="4"/>
      <c r="R184" s="4"/>
      <c r="S184" s="4"/>
      <c r="T184" s="4"/>
      <c r="U184" s="4"/>
      <c r="V184" s="4"/>
      <c r="W184" s="4"/>
      <c r="X184" s="4"/>
      <c r="Y184" s="4"/>
      <c r="Z184" s="4"/>
    </row>
    <row r="185" spans="1:26">
      <c r="A185" s="148" t="s">
        <v>253</v>
      </c>
      <c r="B185" s="150">
        <v>0</v>
      </c>
      <c r="C185" s="150">
        <f>7.29*Assumptions!C21</f>
        <v>3499.2</v>
      </c>
      <c r="D185" s="150">
        <f>7.29*Assumptions!D21</f>
        <v>5310.7650000000003</v>
      </c>
      <c r="E185" s="150">
        <f>7.29*Assumptions!E21</f>
        <v>6943.7250000000004</v>
      </c>
      <c r="F185" s="150">
        <f>7.29*Assumptions!F21</f>
        <v>7388.415</v>
      </c>
      <c r="G185" s="150">
        <f>7.29*Assumptions!G21</f>
        <v>7782.0749999999998</v>
      </c>
      <c r="H185" s="237"/>
      <c r="I185" s="267" t="s">
        <v>478</v>
      </c>
      <c r="J185" s="67" t="s">
        <v>305</v>
      </c>
      <c r="K185" s="4"/>
      <c r="L185" s="4"/>
      <c r="M185" s="4"/>
      <c r="N185" s="4"/>
      <c r="O185" s="4"/>
      <c r="P185" s="4"/>
      <c r="Q185" s="4"/>
      <c r="R185" s="4"/>
      <c r="S185" s="4"/>
      <c r="T185" s="4"/>
      <c r="U185" s="4"/>
      <c r="V185" s="4"/>
      <c r="W185" s="4"/>
      <c r="X185" s="4"/>
      <c r="Y185" s="4"/>
      <c r="Z185" s="4"/>
    </row>
    <row r="186" spans="1:26">
      <c r="A186" s="159" t="s">
        <v>254</v>
      </c>
      <c r="B186" s="160">
        <v>0</v>
      </c>
      <c r="C186" s="160">
        <v>0</v>
      </c>
      <c r="D186" s="160">
        <v>0</v>
      </c>
      <c r="E186" s="160">
        <v>0</v>
      </c>
      <c r="F186" s="160">
        <v>0</v>
      </c>
      <c r="G186" s="160">
        <v>0</v>
      </c>
      <c r="H186" s="238"/>
      <c r="I186" s="153"/>
      <c r="J186" s="67" t="s">
        <v>305</v>
      </c>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67"/>
      <c r="J187" s="67"/>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67"/>
      <c r="J188" s="67"/>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67"/>
      <c r="J189" s="67"/>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67"/>
      <c r="J190" s="67"/>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67"/>
      <c r="J191" s="67"/>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67"/>
      <c r="J192" s="67"/>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67"/>
      <c r="J193" s="67"/>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67"/>
      <c r="J194" s="67"/>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67"/>
      <c r="J195" s="67"/>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67"/>
      <c r="J196" s="67"/>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67"/>
      <c r="J197" s="67"/>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67"/>
      <c r="J198" s="67"/>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67"/>
      <c r="J199" s="67"/>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67"/>
      <c r="J200" s="67"/>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67"/>
      <c r="J201" s="67"/>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67"/>
      <c r="J202" s="67"/>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67"/>
      <c r="J203" s="67"/>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67"/>
      <c r="J204" s="67"/>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67"/>
      <c r="J205" s="67"/>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67"/>
      <c r="J206" s="67"/>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67"/>
      <c r="J207" s="67"/>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67"/>
      <c r="J208" s="67"/>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67"/>
      <c r="J209" s="67"/>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67"/>
      <c r="J210" s="67"/>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67"/>
      <c r="J211" s="67"/>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67"/>
      <c r="J212" s="67"/>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67"/>
      <c r="J213" s="67"/>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67"/>
      <c r="J214" s="67"/>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67"/>
      <c r="J215" s="67"/>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67"/>
      <c r="J216" s="67"/>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67"/>
      <c r="J217" s="67"/>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67"/>
      <c r="J218" s="67"/>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67"/>
      <c r="J219" s="67"/>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67"/>
      <c r="J220" s="67"/>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67"/>
      <c r="J221" s="67"/>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67"/>
      <c r="J222" s="67"/>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67"/>
      <c r="J223" s="67"/>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67"/>
      <c r="J224" s="67"/>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67"/>
      <c r="J225" s="67"/>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67"/>
      <c r="J226" s="67"/>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67"/>
      <c r="J227" s="67"/>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67"/>
      <c r="J228" s="67"/>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67"/>
      <c r="J229" s="67"/>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67"/>
      <c r="J230" s="67"/>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67"/>
      <c r="J231" s="67"/>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67"/>
      <c r="J232" s="67"/>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67"/>
      <c r="J233" s="67"/>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67"/>
      <c r="J234" s="67"/>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67"/>
      <c r="J235" s="67"/>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67"/>
      <c r="J236" s="67"/>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67"/>
      <c r="J237" s="67"/>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67"/>
      <c r="J238" s="67"/>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67"/>
      <c r="J239" s="67"/>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67"/>
      <c r="J240" s="67"/>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67"/>
      <c r="J241" s="67"/>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67"/>
      <c r="J242" s="67"/>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67"/>
      <c r="J243" s="67"/>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67"/>
      <c r="J244" s="67"/>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67"/>
      <c r="J245" s="67"/>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67"/>
      <c r="J246" s="67"/>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67"/>
      <c r="J247" s="67"/>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67"/>
      <c r="J248" s="67"/>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67"/>
      <c r="J249" s="67"/>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67"/>
      <c r="J250" s="67"/>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67"/>
      <c r="J251" s="67"/>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67"/>
      <c r="J252" s="67"/>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67"/>
      <c r="J253" s="67"/>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67"/>
      <c r="J254" s="67"/>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67"/>
      <c r="J255" s="67"/>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67"/>
      <c r="J256" s="67"/>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67"/>
      <c r="J257" s="67"/>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67"/>
      <c r="J258" s="67"/>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67"/>
      <c r="J259" s="67"/>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67"/>
      <c r="J260" s="67"/>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67"/>
      <c r="J261" s="67"/>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67"/>
      <c r="J262" s="67"/>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67"/>
      <c r="J263" s="67"/>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67"/>
      <c r="J264" s="67"/>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67"/>
      <c r="J265" s="67"/>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67"/>
      <c r="J266" s="67"/>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67"/>
      <c r="J267" s="67"/>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67"/>
      <c r="J268" s="67"/>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67"/>
      <c r="J269" s="67"/>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67"/>
      <c r="J270" s="67"/>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67"/>
      <c r="J271" s="67"/>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67"/>
      <c r="J272" s="67"/>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67"/>
      <c r="J273" s="67"/>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67"/>
      <c r="J274" s="67"/>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67"/>
      <c r="J275" s="67"/>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67"/>
      <c r="J276" s="67"/>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67"/>
      <c r="J277" s="67"/>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67"/>
      <c r="J278" s="67"/>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67"/>
      <c r="J279" s="67"/>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67"/>
      <c r="J280" s="67"/>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67"/>
      <c r="J281" s="67"/>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67"/>
      <c r="J282" s="67"/>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67"/>
      <c r="J283" s="67"/>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67"/>
      <c r="J284" s="67"/>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67"/>
      <c r="J285" s="67"/>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67"/>
      <c r="J286" s="67"/>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67"/>
      <c r="J287" s="67"/>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67"/>
      <c r="J288" s="67"/>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67"/>
      <c r="J289" s="67"/>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67"/>
      <c r="J290" s="67"/>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67"/>
      <c r="J291" s="67"/>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67"/>
      <c r="J292" s="67"/>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67"/>
      <c r="J293" s="67"/>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67"/>
      <c r="J294" s="67"/>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67"/>
      <c r="J295" s="67"/>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67"/>
      <c r="J296" s="67"/>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67"/>
      <c r="J297" s="67"/>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67"/>
      <c r="J298" s="67"/>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67"/>
      <c r="J299" s="67"/>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67"/>
      <c r="J300" s="67"/>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67"/>
      <c r="J301" s="67"/>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67"/>
      <c r="J302" s="67"/>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67"/>
      <c r="J303" s="67"/>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67"/>
      <c r="J304" s="67"/>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67"/>
      <c r="J305" s="67"/>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67"/>
      <c r="J306" s="67"/>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67"/>
      <c r="J307" s="67"/>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67"/>
      <c r="J308" s="67"/>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67"/>
      <c r="J309" s="67"/>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67"/>
      <c r="J310" s="67"/>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67"/>
      <c r="J311" s="67"/>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67"/>
      <c r="J312" s="67"/>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67"/>
      <c r="J313" s="67"/>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67"/>
      <c r="J314" s="67"/>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67"/>
      <c r="J315" s="67"/>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67"/>
      <c r="J316" s="67"/>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67"/>
      <c r="J317" s="67"/>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67"/>
      <c r="J318" s="67"/>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67"/>
      <c r="J319" s="67"/>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67"/>
      <c r="J320" s="67"/>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67"/>
      <c r="J321" s="67"/>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67"/>
      <c r="J322" s="67"/>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67"/>
      <c r="J323" s="67"/>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67"/>
      <c r="J324" s="67"/>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67"/>
      <c r="J325" s="67"/>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67"/>
      <c r="J326" s="67"/>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67"/>
      <c r="J327" s="67"/>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67"/>
      <c r="J328" s="67"/>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67"/>
      <c r="J329" s="67"/>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67"/>
      <c r="J330" s="67"/>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67"/>
      <c r="J331" s="67"/>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67"/>
      <c r="J332" s="67"/>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67"/>
      <c r="J333" s="67"/>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67"/>
      <c r="J334" s="67"/>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67"/>
      <c r="J335" s="67"/>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67"/>
      <c r="J336" s="67"/>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67"/>
      <c r="J337" s="67"/>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67"/>
      <c r="J338" s="67"/>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67"/>
      <c r="J339" s="67"/>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67"/>
      <c r="J340" s="67"/>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67"/>
      <c r="J341" s="67"/>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67"/>
      <c r="J342" s="67"/>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67"/>
      <c r="J343" s="67"/>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67"/>
      <c r="J344" s="67"/>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67"/>
      <c r="J345" s="67"/>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67"/>
      <c r="J346" s="67"/>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67"/>
      <c r="J347" s="67"/>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67"/>
      <c r="J348" s="67"/>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67"/>
      <c r="J349" s="67"/>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67"/>
      <c r="J350" s="67"/>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67"/>
      <c r="J351" s="67"/>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67"/>
      <c r="J352" s="67"/>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67"/>
      <c r="J353" s="67"/>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67"/>
      <c r="J354" s="67"/>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67"/>
      <c r="J355" s="67"/>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67"/>
      <c r="J356" s="67"/>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67"/>
      <c r="J357" s="67"/>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67"/>
      <c r="J358" s="67"/>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67"/>
      <c r="J359" s="67"/>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67"/>
      <c r="J360" s="67"/>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67"/>
      <c r="J361" s="67"/>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67"/>
      <c r="J362" s="67"/>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67"/>
      <c r="J363" s="67"/>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67"/>
      <c r="J364" s="67"/>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67"/>
      <c r="J365" s="67"/>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67"/>
      <c r="J366" s="67"/>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67"/>
      <c r="J367" s="67"/>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67"/>
      <c r="J368" s="67"/>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67"/>
      <c r="J369" s="67"/>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67"/>
      <c r="J370" s="67"/>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67"/>
      <c r="J371" s="67"/>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67"/>
      <c r="J372" s="67"/>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67"/>
      <c r="J373" s="67"/>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67"/>
      <c r="J374" s="67"/>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67"/>
      <c r="J375" s="67"/>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67"/>
      <c r="J376" s="67"/>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67"/>
      <c r="J377" s="67"/>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67"/>
      <c r="J378" s="67"/>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67"/>
      <c r="J379" s="67"/>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67"/>
      <c r="J380" s="67"/>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67"/>
      <c r="J381" s="67"/>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67"/>
      <c r="J382" s="67"/>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67"/>
      <c r="J383" s="67"/>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67"/>
      <c r="J384" s="67"/>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67"/>
      <c r="J385" s="67"/>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67"/>
      <c r="J386" s="67"/>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67"/>
      <c r="J387" s="67"/>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67"/>
      <c r="J388" s="67"/>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67"/>
      <c r="J389" s="67"/>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67"/>
      <c r="J390" s="67"/>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67"/>
      <c r="J391" s="67"/>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67"/>
      <c r="J392" s="67"/>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67"/>
      <c r="J393" s="67"/>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67"/>
      <c r="J394" s="67"/>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67"/>
      <c r="J395" s="67"/>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67"/>
      <c r="J396" s="67"/>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67"/>
      <c r="J397" s="67"/>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67"/>
      <c r="J398" s="67"/>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67"/>
      <c r="J399" s="67"/>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67"/>
      <c r="J400" s="67"/>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67"/>
      <c r="J401" s="67"/>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67"/>
      <c r="J402" s="67"/>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67"/>
      <c r="J403" s="67"/>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67"/>
      <c r="J404" s="67"/>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67"/>
      <c r="J405" s="67"/>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67"/>
      <c r="J406" s="67"/>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67"/>
      <c r="J407" s="67"/>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67"/>
      <c r="J408" s="67"/>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67"/>
      <c r="J409" s="67"/>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67"/>
      <c r="J410" s="67"/>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67"/>
      <c r="J411" s="67"/>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67"/>
      <c r="J412" s="67"/>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67"/>
      <c r="J413" s="67"/>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67"/>
      <c r="J414" s="67"/>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67"/>
      <c r="J415" s="67"/>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67"/>
      <c r="J416" s="67"/>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67"/>
      <c r="J417" s="67"/>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67"/>
      <c r="J418" s="67"/>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67"/>
      <c r="J419" s="67"/>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67"/>
      <c r="J420" s="67"/>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67"/>
      <c r="J421" s="67"/>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67"/>
      <c r="J422" s="67"/>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67"/>
      <c r="J423" s="67"/>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67"/>
      <c r="J424" s="67"/>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67"/>
      <c r="J425" s="67"/>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67"/>
      <c r="J426" s="67"/>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67"/>
      <c r="J427" s="67"/>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67"/>
      <c r="J428" s="67"/>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67"/>
      <c r="J429" s="67"/>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67"/>
      <c r="J430" s="67"/>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67"/>
      <c r="J431" s="67"/>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67"/>
      <c r="J432" s="67"/>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67"/>
      <c r="J433" s="67"/>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67"/>
      <c r="J434" s="67"/>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67"/>
      <c r="J435" s="67"/>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67"/>
      <c r="J436" s="67"/>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67"/>
      <c r="J437" s="67"/>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67"/>
      <c r="J438" s="67"/>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67"/>
      <c r="J439" s="67"/>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67"/>
      <c r="J440" s="67"/>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67"/>
      <c r="J441" s="67"/>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67"/>
      <c r="J442" s="67"/>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67"/>
      <c r="J443" s="67"/>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67"/>
      <c r="J444" s="67"/>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67"/>
      <c r="J445" s="67"/>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67"/>
      <c r="J446" s="67"/>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67"/>
      <c r="J447" s="67"/>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67"/>
      <c r="J448" s="67"/>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67"/>
      <c r="J449" s="67"/>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67"/>
      <c r="J450" s="67"/>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67"/>
      <c r="J451" s="67"/>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67"/>
      <c r="J452" s="67"/>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67"/>
      <c r="J453" s="67"/>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67"/>
      <c r="J454" s="67"/>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67"/>
      <c r="J455" s="67"/>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67"/>
      <c r="J456" s="67"/>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67"/>
      <c r="J457" s="67"/>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67"/>
      <c r="J458" s="67"/>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67"/>
      <c r="J459" s="67"/>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67"/>
      <c r="J460" s="67"/>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67"/>
      <c r="J461" s="67"/>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67"/>
      <c r="J462" s="67"/>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67"/>
      <c r="J463" s="67"/>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67"/>
      <c r="J464" s="67"/>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67"/>
      <c r="J465" s="67"/>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67"/>
      <c r="J466" s="67"/>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67"/>
      <c r="J467" s="67"/>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67"/>
      <c r="J468" s="67"/>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67"/>
      <c r="J469" s="67"/>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67"/>
      <c r="J470" s="67"/>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67"/>
      <c r="J471" s="67"/>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67"/>
      <c r="J472" s="67"/>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67"/>
      <c r="J473" s="67"/>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67"/>
      <c r="J474" s="67"/>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67"/>
      <c r="J475" s="67"/>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67"/>
      <c r="J476" s="67"/>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67"/>
      <c r="J477" s="67"/>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67"/>
      <c r="J478" s="67"/>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67"/>
      <c r="J479" s="67"/>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67"/>
      <c r="J480" s="67"/>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67"/>
      <c r="J481" s="67"/>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67"/>
      <c r="J482" s="67"/>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67"/>
      <c r="J483" s="67"/>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67"/>
      <c r="J484" s="67"/>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67"/>
      <c r="J485" s="67"/>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67"/>
      <c r="J486" s="67"/>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67"/>
      <c r="J487" s="67"/>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67"/>
      <c r="J488" s="67"/>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67"/>
      <c r="J489" s="67"/>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67"/>
      <c r="J490" s="67"/>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67"/>
      <c r="J491" s="67"/>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67"/>
      <c r="J492" s="67"/>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67"/>
      <c r="J493" s="67"/>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67"/>
      <c r="J494" s="67"/>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67"/>
      <c r="J495" s="67"/>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67"/>
      <c r="J496" s="67"/>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67"/>
      <c r="J497" s="67"/>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67"/>
      <c r="J498" s="67"/>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67"/>
      <c r="J499" s="67"/>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67"/>
      <c r="J500" s="67"/>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67"/>
      <c r="J501" s="67"/>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67"/>
      <c r="J502" s="67"/>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67"/>
      <c r="J503" s="67"/>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67"/>
      <c r="J504" s="67"/>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67"/>
      <c r="J505" s="67"/>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67"/>
      <c r="J506" s="67"/>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67"/>
      <c r="J507" s="67"/>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67"/>
      <c r="J508" s="67"/>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67"/>
      <c r="J509" s="67"/>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67"/>
      <c r="J510" s="67"/>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67"/>
      <c r="J511" s="67"/>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67"/>
      <c r="J512" s="67"/>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67"/>
      <c r="J513" s="67"/>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67"/>
      <c r="J514" s="67"/>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67"/>
      <c r="J515" s="67"/>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67"/>
      <c r="J516" s="67"/>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67"/>
      <c r="J517" s="67"/>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67"/>
      <c r="J518" s="67"/>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67"/>
      <c r="J519" s="67"/>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67"/>
      <c r="J520" s="67"/>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67"/>
      <c r="J521" s="67"/>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67"/>
      <c r="J522" s="67"/>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67"/>
      <c r="J523" s="67"/>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67"/>
      <c r="J524" s="67"/>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67"/>
      <c r="J525" s="67"/>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67"/>
      <c r="J526" s="67"/>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67"/>
      <c r="J527" s="67"/>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67"/>
      <c r="J528" s="67"/>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67"/>
      <c r="J529" s="67"/>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67"/>
      <c r="J530" s="67"/>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67"/>
      <c r="J531" s="67"/>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67"/>
      <c r="J532" s="67"/>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67"/>
      <c r="J533" s="67"/>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67"/>
      <c r="J534" s="67"/>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67"/>
      <c r="J535" s="67"/>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67"/>
      <c r="J536" s="67"/>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67"/>
      <c r="J537" s="67"/>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67"/>
      <c r="J538" s="67"/>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67"/>
      <c r="J539" s="67"/>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67"/>
      <c r="J540" s="67"/>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67"/>
      <c r="J541" s="67"/>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67"/>
      <c r="J542" s="67"/>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67"/>
      <c r="J543" s="67"/>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67"/>
      <c r="J544" s="67"/>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67"/>
      <c r="J545" s="67"/>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67"/>
      <c r="J546" s="67"/>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67"/>
      <c r="J547" s="67"/>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67"/>
      <c r="J548" s="67"/>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67"/>
      <c r="J549" s="67"/>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67"/>
      <c r="J550" s="67"/>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67"/>
      <c r="J551" s="67"/>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67"/>
      <c r="J552" s="67"/>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67"/>
      <c r="J553" s="67"/>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67"/>
      <c r="J554" s="67"/>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67"/>
      <c r="J555" s="67"/>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67"/>
      <c r="J556" s="67"/>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67"/>
      <c r="J557" s="67"/>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67"/>
      <c r="J558" s="67"/>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67"/>
      <c r="J559" s="67"/>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67"/>
      <c r="J560" s="67"/>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67"/>
      <c r="J561" s="67"/>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67"/>
      <c r="J562" s="67"/>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67"/>
      <c r="J563" s="67"/>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67"/>
      <c r="J564" s="67"/>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67"/>
      <c r="J565" s="67"/>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67"/>
      <c r="J566" s="67"/>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67"/>
      <c r="J567" s="67"/>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67"/>
      <c r="J568" s="67"/>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67"/>
      <c r="J569" s="67"/>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67"/>
      <c r="J570" s="67"/>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67"/>
      <c r="J571" s="67"/>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67"/>
      <c r="J572" s="67"/>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67"/>
      <c r="J573" s="67"/>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67"/>
      <c r="J574" s="67"/>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67"/>
      <c r="J575" s="67"/>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67"/>
      <c r="J576" s="67"/>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67"/>
      <c r="J577" s="67"/>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67"/>
      <c r="J578" s="67"/>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67"/>
      <c r="J579" s="67"/>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67"/>
      <c r="J580" s="67"/>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67"/>
      <c r="J581" s="67"/>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67"/>
      <c r="J582" s="67"/>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67"/>
      <c r="J583" s="67"/>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67"/>
      <c r="J584" s="67"/>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67"/>
      <c r="J585" s="67"/>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67"/>
      <c r="J586" s="67"/>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67"/>
      <c r="J587" s="67"/>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67"/>
      <c r="J588" s="67"/>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67"/>
      <c r="J589" s="67"/>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67"/>
      <c r="J590" s="67"/>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67"/>
      <c r="J591" s="67"/>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67"/>
      <c r="J592" s="67"/>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67"/>
      <c r="J593" s="67"/>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67"/>
      <c r="J594" s="67"/>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67"/>
      <c r="J595" s="67"/>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67"/>
      <c r="J596" s="67"/>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67"/>
      <c r="J597" s="67"/>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67"/>
      <c r="J598" s="67"/>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67"/>
      <c r="J599" s="67"/>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67"/>
      <c r="J600" s="67"/>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67"/>
      <c r="J601" s="67"/>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67"/>
      <c r="J602" s="67"/>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67"/>
      <c r="J603" s="67"/>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67"/>
      <c r="J604" s="67"/>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67"/>
      <c r="J605" s="67"/>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67"/>
      <c r="J606" s="67"/>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67"/>
      <c r="J607" s="67"/>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67"/>
      <c r="J608" s="67"/>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67"/>
      <c r="J609" s="67"/>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67"/>
      <c r="J610" s="67"/>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67"/>
      <c r="J611" s="67"/>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67"/>
      <c r="J612" s="67"/>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67"/>
      <c r="J613" s="67"/>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67"/>
      <c r="J614" s="67"/>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67"/>
      <c r="J615" s="67"/>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67"/>
      <c r="J616" s="67"/>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67"/>
      <c r="J617" s="67"/>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67"/>
      <c r="J618" s="67"/>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67"/>
      <c r="J619" s="67"/>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67"/>
      <c r="J620" s="67"/>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67"/>
      <c r="J621" s="67"/>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67"/>
      <c r="J622" s="67"/>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67"/>
      <c r="J623" s="67"/>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67"/>
      <c r="J624" s="67"/>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67"/>
      <c r="J625" s="67"/>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67"/>
      <c r="J626" s="67"/>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67"/>
      <c r="J627" s="67"/>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67"/>
      <c r="J628" s="67"/>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67"/>
      <c r="J629" s="67"/>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67"/>
      <c r="J630" s="67"/>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67"/>
      <c r="J631" s="67"/>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67"/>
      <c r="J632" s="67"/>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67"/>
      <c r="J633" s="67"/>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67"/>
      <c r="J634" s="67"/>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67"/>
      <c r="J635" s="67"/>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67"/>
      <c r="J636" s="67"/>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67"/>
      <c r="J637" s="67"/>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67"/>
      <c r="J638" s="67"/>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67"/>
      <c r="J639" s="67"/>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67"/>
      <c r="J640" s="67"/>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67"/>
      <c r="J641" s="67"/>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67"/>
      <c r="J642" s="67"/>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67"/>
      <c r="J643" s="67"/>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67"/>
      <c r="J644" s="67"/>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67"/>
      <c r="J645" s="67"/>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67"/>
      <c r="J646" s="67"/>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67"/>
      <c r="J647" s="67"/>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67"/>
      <c r="J648" s="67"/>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67"/>
      <c r="J649" s="67"/>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67"/>
      <c r="J650" s="67"/>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67"/>
      <c r="J651" s="67"/>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67"/>
      <c r="J652" s="67"/>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67"/>
      <c r="J653" s="67"/>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67"/>
      <c r="J654" s="67"/>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67"/>
      <c r="J655" s="67"/>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67"/>
      <c r="J656" s="67"/>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67"/>
      <c r="J657" s="67"/>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67"/>
      <c r="J658" s="67"/>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67"/>
      <c r="J659" s="67"/>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67"/>
      <c r="J660" s="67"/>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67"/>
      <c r="J661" s="67"/>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67"/>
      <c r="J662" s="67"/>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67"/>
      <c r="J663" s="67"/>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67"/>
      <c r="J664" s="67"/>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67"/>
      <c r="J665" s="67"/>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67"/>
      <c r="J666" s="67"/>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67"/>
      <c r="J667" s="67"/>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67"/>
      <c r="J668" s="67"/>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67"/>
      <c r="J669" s="67"/>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67"/>
      <c r="J670" s="67"/>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67"/>
      <c r="J671" s="67"/>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67"/>
      <c r="J672" s="67"/>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67"/>
      <c r="J673" s="67"/>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67"/>
      <c r="J674" s="67"/>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67"/>
      <c r="J675" s="67"/>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67"/>
      <c r="J676" s="67"/>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67"/>
      <c r="J677" s="67"/>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67"/>
      <c r="J678" s="67"/>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67"/>
      <c r="J679" s="67"/>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67"/>
      <c r="J680" s="67"/>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67"/>
      <c r="J681" s="67"/>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67"/>
      <c r="J682" s="67"/>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67"/>
      <c r="J683" s="67"/>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67"/>
      <c r="J684" s="67"/>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67"/>
      <c r="J685" s="67"/>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67"/>
      <c r="J686" s="67"/>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67"/>
      <c r="J687" s="67"/>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67"/>
      <c r="J688" s="67"/>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67"/>
      <c r="J689" s="67"/>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67"/>
      <c r="J690" s="67"/>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67"/>
      <c r="J691" s="67"/>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67"/>
      <c r="J692" s="67"/>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67"/>
      <c r="J693" s="67"/>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67"/>
      <c r="J694" s="67"/>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67"/>
      <c r="J695" s="67"/>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67"/>
      <c r="J696" s="67"/>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67"/>
      <c r="J697" s="67"/>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67"/>
      <c r="J698" s="67"/>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67"/>
      <c r="J699" s="67"/>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67"/>
      <c r="J700" s="67"/>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67"/>
      <c r="J701" s="67"/>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67"/>
      <c r="J702" s="67"/>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67"/>
      <c r="J703" s="67"/>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67"/>
      <c r="J704" s="67"/>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67"/>
      <c r="J705" s="67"/>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67"/>
      <c r="J706" s="67"/>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67"/>
      <c r="J707" s="67"/>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67"/>
      <c r="J708" s="67"/>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67"/>
      <c r="J709" s="67"/>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67"/>
      <c r="J710" s="67"/>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67"/>
      <c r="J711" s="67"/>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67"/>
      <c r="J712" s="67"/>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67"/>
      <c r="J713" s="67"/>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67"/>
      <c r="J714" s="67"/>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67"/>
      <c r="J715" s="67"/>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67"/>
      <c r="J716" s="67"/>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67"/>
      <c r="J717" s="67"/>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67"/>
      <c r="J718" s="67"/>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67"/>
      <c r="J719" s="67"/>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67"/>
      <c r="J720" s="67"/>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67"/>
      <c r="J721" s="67"/>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67"/>
      <c r="J722" s="67"/>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67"/>
      <c r="J723" s="67"/>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67"/>
      <c r="J724" s="67"/>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67"/>
      <c r="J725" s="67"/>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67"/>
      <c r="J726" s="67"/>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67"/>
      <c r="J727" s="67"/>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67"/>
      <c r="J728" s="67"/>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67"/>
      <c r="J729" s="67"/>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67"/>
      <c r="J730" s="67"/>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67"/>
      <c r="J731" s="67"/>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67"/>
      <c r="J732" s="67"/>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67"/>
      <c r="J733" s="67"/>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67"/>
      <c r="J734" s="67"/>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67"/>
      <c r="J735" s="67"/>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67"/>
      <c r="J736" s="67"/>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67"/>
      <c r="J737" s="67"/>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67"/>
      <c r="J738" s="67"/>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67"/>
      <c r="J739" s="67"/>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67"/>
      <c r="J740" s="67"/>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67"/>
      <c r="J741" s="67"/>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67"/>
      <c r="J742" s="67"/>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67"/>
      <c r="J743" s="67"/>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67"/>
      <c r="J744" s="67"/>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67"/>
      <c r="J745" s="67"/>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67"/>
      <c r="J746" s="67"/>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67"/>
      <c r="J747" s="67"/>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67"/>
      <c r="J748" s="67"/>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67"/>
      <c r="J749" s="67"/>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67"/>
      <c r="J750" s="67"/>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67"/>
      <c r="J751" s="67"/>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67"/>
      <c r="J752" s="67"/>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67"/>
      <c r="J753" s="67"/>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67"/>
      <c r="J754" s="67"/>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67"/>
      <c r="J755" s="67"/>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67"/>
      <c r="J756" s="67"/>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67"/>
      <c r="J757" s="67"/>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67"/>
      <c r="J758" s="67"/>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67"/>
      <c r="J759" s="67"/>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67"/>
      <c r="J760" s="67"/>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67"/>
      <c r="J761" s="67"/>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67"/>
      <c r="J762" s="67"/>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67"/>
      <c r="J763" s="67"/>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67"/>
      <c r="J764" s="67"/>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67"/>
      <c r="J765" s="67"/>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67"/>
      <c r="J766" s="67"/>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67"/>
      <c r="J767" s="67"/>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67"/>
      <c r="J768" s="67"/>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67"/>
      <c r="J769" s="67"/>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67"/>
      <c r="J770" s="67"/>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67"/>
      <c r="J771" s="67"/>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67"/>
      <c r="J772" s="67"/>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67"/>
      <c r="J773" s="67"/>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67"/>
      <c r="J774" s="67"/>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67"/>
      <c r="J775" s="67"/>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67"/>
      <c r="J776" s="67"/>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67"/>
      <c r="J777" s="67"/>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67"/>
      <c r="J778" s="67"/>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67"/>
      <c r="J779" s="67"/>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67"/>
      <c r="J780" s="67"/>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67"/>
      <c r="J781" s="67"/>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67"/>
      <c r="J782" s="67"/>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67"/>
      <c r="J783" s="67"/>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67"/>
      <c r="J784" s="67"/>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67"/>
      <c r="J785" s="67"/>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67"/>
      <c r="J786" s="67"/>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67"/>
      <c r="J787" s="67"/>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67"/>
      <c r="J788" s="67"/>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67"/>
      <c r="J789" s="67"/>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67"/>
      <c r="J790" s="67"/>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67"/>
      <c r="J791" s="67"/>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67"/>
      <c r="J792" s="67"/>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67"/>
      <c r="J793" s="67"/>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67"/>
      <c r="J794" s="67"/>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67"/>
      <c r="J795" s="67"/>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67"/>
      <c r="J796" s="67"/>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67"/>
      <c r="J797" s="67"/>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67"/>
      <c r="J798" s="67"/>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67"/>
      <c r="J799" s="67"/>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67"/>
      <c r="J800" s="67"/>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67"/>
      <c r="J801" s="67"/>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67"/>
      <c r="J802" s="67"/>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67"/>
      <c r="J803" s="67"/>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67"/>
      <c r="J804" s="67"/>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67"/>
      <c r="J805" s="67"/>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67"/>
      <c r="J806" s="67"/>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67"/>
      <c r="J807" s="67"/>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67"/>
      <c r="J808" s="67"/>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67"/>
      <c r="J809" s="67"/>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67"/>
      <c r="J810" s="67"/>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67"/>
      <c r="J811" s="67"/>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67"/>
      <c r="J812" s="67"/>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67"/>
      <c r="J813" s="67"/>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67"/>
      <c r="J814" s="67"/>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67"/>
      <c r="J815" s="67"/>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67"/>
      <c r="J816" s="67"/>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67"/>
      <c r="J817" s="67"/>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67"/>
      <c r="J818" s="67"/>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67"/>
      <c r="J819" s="67"/>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67"/>
      <c r="J820" s="67"/>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67"/>
      <c r="J821" s="67"/>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67"/>
      <c r="J822" s="67"/>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67"/>
      <c r="J823" s="67"/>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67"/>
      <c r="J824" s="67"/>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67"/>
      <c r="J825" s="67"/>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67"/>
      <c r="J826" s="67"/>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67"/>
      <c r="J827" s="67"/>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67"/>
      <c r="J828" s="67"/>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67"/>
      <c r="J829" s="67"/>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67"/>
      <c r="J830" s="67"/>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67"/>
      <c r="J831" s="67"/>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67"/>
      <c r="J832" s="67"/>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67"/>
      <c r="J833" s="67"/>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67"/>
      <c r="J834" s="67"/>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67"/>
      <c r="J835" s="67"/>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67"/>
      <c r="J836" s="67"/>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67"/>
      <c r="J837" s="67"/>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67"/>
      <c r="J838" s="67"/>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67"/>
      <c r="J839" s="67"/>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67"/>
      <c r="J840" s="67"/>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67"/>
      <c r="J841" s="67"/>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67"/>
      <c r="J842" s="67"/>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67"/>
      <c r="J843" s="67"/>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67"/>
      <c r="J844" s="67"/>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67"/>
      <c r="J845" s="67"/>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67"/>
      <c r="J846" s="67"/>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67"/>
      <c r="J847" s="67"/>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67"/>
      <c r="J848" s="67"/>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67"/>
      <c r="J849" s="67"/>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67"/>
      <c r="J850" s="67"/>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67"/>
      <c r="J851" s="67"/>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67"/>
      <c r="J852" s="67"/>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67"/>
      <c r="J853" s="67"/>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67"/>
      <c r="J854" s="67"/>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67"/>
      <c r="J855" s="67"/>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67"/>
      <c r="J856" s="67"/>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67"/>
      <c r="J857" s="67"/>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67"/>
      <c r="J858" s="67"/>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67"/>
      <c r="J859" s="67"/>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67"/>
      <c r="J860" s="67"/>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67"/>
      <c r="J861" s="67"/>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67"/>
      <c r="J862" s="67"/>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67"/>
      <c r="J863" s="67"/>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67"/>
      <c r="J864" s="67"/>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67"/>
      <c r="J865" s="67"/>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67"/>
      <c r="J866" s="67"/>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67"/>
      <c r="J867" s="67"/>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67"/>
      <c r="J868" s="67"/>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67"/>
      <c r="J869" s="67"/>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67"/>
      <c r="J870" s="67"/>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67"/>
      <c r="J871" s="67"/>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67"/>
      <c r="J872" s="67"/>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67"/>
      <c r="J873" s="67"/>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67"/>
      <c r="J874" s="67"/>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67"/>
      <c r="J875" s="67"/>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67"/>
      <c r="J876" s="67"/>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67"/>
      <c r="J877" s="67"/>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67"/>
      <c r="J878" s="67"/>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67"/>
      <c r="J879" s="67"/>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67"/>
      <c r="J880" s="67"/>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67"/>
      <c r="J881" s="67"/>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67"/>
      <c r="J882" s="67"/>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67"/>
      <c r="J883" s="67"/>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67"/>
      <c r="J884" s="67"/>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67"/>
      <c r="J885" s="67"/>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67"/>
      <c r="J886" s="67"/>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67"/>
      <c r="J887" s="67"/>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67"/>
      <c r="J888" s="67"/>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67"/>
      <c r="J889" s="67"/>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67"/>
      <c r="J890" s="67"/>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67"/>
      <c r="J891" s="67"/>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67"/>
      <c r="J892" s="67"/>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67"/>
      <c r="J893" s="67"/>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67"/>
      <c r="J894" s="67"/>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67"/>
      <c r="J895" s="67"/>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67"/>
      <c r="J896" s="67"/>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67"/>
      <c r="J897" s="67"/>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67"/>
      <c r="J898" s="67"/>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67"/>
      <c r="J899" s="67"/>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67"/>
      <c r="J900" s="67"/>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67"/>
      <c r="J901" s="67"/>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67"/>
      <c r="J902" s="67"/>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67"/>
      <c r="J903" s="67"/>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67"/>
      <c r="J904" s="67"/>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67"/>
      <c r="J905" s="67"/>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67"/>
      <c r="J906" s="67"/>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67"/>
      <c r="J907" s="67"/>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67"/>
      <c r="J908" s="67"/>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67"/>
      <c r="J909" s="67"/>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67"/>
      <c r="J910" s="67"/>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67"/>
      <c r="J911" s="67"/>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67"/>
      <c r="J912" s="67"/>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67"/>
      <c r="J913" s="67"/>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67"/>
      <c r="J914" s="67"/>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67"/>
      <c r="J915" s="67"/>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67"/>
      <c r="J916" s="67"/>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67"/>
      <c r="J917" s="67"/>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67"/>
      <c r="J918" s="67"/>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67"/>
      <c r="J919" s="67"/>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67"/>
      <c r="J920" s="67"/>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67"/>
      <c r="J921" s="67"/>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67"/>
      <c r="J922" s="67"/>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67"/>
      <c r="J923" s="67"/>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67"/>
      <c r="J924" s="67"/>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67"/>
      <c r="J925" s="67"/>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67"/>
      <c r="J926" s="67"/>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67"/>
      <c r="J927" s="67"/>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67"/>
      <c r="J928" s="67"/>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67"/>
      <c r="J929" s="67"/>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67"/>
      <c r="J930" s="67"/>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67"/>
      <c r="J931" s="67"/>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67"/>
      <c r="J932" s="67"/>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67"/>
      <c r="J933" s="67"/>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67"/>
      <c r="J934" s="67"/>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67"/>
      <c r="J935" s="67"/>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67"/>
      <c r="J936" s="67"/>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67"/>
      <c r="J937" s="67"/>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67"/>
      <c r="J938" s="67"/>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67"/>
      <c r="J939" s="67"/>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67"/>
      <c r="J940" s="67"/>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67"/>
      <c r="J941" s="67"/>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67"/>
      <c r="J942" s="67"/>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67"/>
      <c r="J943" s="67"/>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67"/>
      <c r="J944" s="67"/>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67"/>
      <c r="J945" s="67"/>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67"/>
      <c r="J946" s="67"/>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67"/>
      <c r="J947" s="67"/>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67"/>
      <c r="J948" s="67"/>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67"/>
      <c r="J949" s="67"/>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67"/>
      <c r="J950" s="67"/>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67"/>
      <c r="J951" s="67"/>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67"/>
      <c r="J952" s="67"/>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67"/>
      <c r="J953" s="67"/>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67"/>
      <c r="J954" s="67"/>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67"/>
      <c r="J955" s="67"/>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67"/>
      <c r="J956" s="67"/>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67"/>
      <c r="J957" s="67"/>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67"/>
      <c r="J958" s="67"/>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67"/>
      <c r="J959" s="67"/>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67"/>
      <c r="J960" s="67"/>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67"/>
      <c r="J961" s="67"/>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67"/>
      <c r="J962" s="67"/>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67"/>
      <c r="J963" s="67"/>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67"/>
      <c r="J964" s="67"/>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67"/>
      <c r="J965" s="67"/>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67"/>
      <c r="J966" s="67"/>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67"/>
      <c r="J967" s="67"/>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67"/>
      <c r="J968" s="67"/>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67"/>
      <c r="J969" s="67"/>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67"/>
      <c r="J970" s="67"/>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67"/>
      <c r="J971" s="67"/>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67"/>
      <c r="J972" s="67"/>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67"/>
      <c r="J973" s="67"/>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67"/>
      <c r="J974" s="67"/>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67"/>
      <c r="J975" s="67"/>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67"/>
      <c r="J976" s="67"/>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67"/>
      <c r="J977" s="67"/>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67"/>
      <c r="J978" s="67"/>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67"/>
      <c r="J979" s="67"/>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67"/>
      <c r="J980" s="67"/>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67"/>
      <c r="J981" s="67"/>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67"/>
      <c r="J982" s="67"/>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67"/>
      <c r="J983" s="67"/>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67"/>
      <c r="J984" s="67"/>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67"/>
      <c r="J985" s="67"/>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67"/>
      <c r="J986" s="67"/>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67"/>
      <c r="J987" s="67"/>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67"/>
      <c r="J988" s="67"/>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67"/>
      <c r="J989" s="67"/>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67"/>
      <c r="J990" s="67"/>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67"/>
      <c r="J991" s="67"/>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67"/>
      <c r="J992" s="67"/>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67"/>
      <c r="J993" s="67"/>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67"/>
      <c r="J994" s="67"/>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67"/>
      <c r="J995" s="67"/>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67"/>
      <c r="J996" s="67"/>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67"/>
      <c r="J997" s="67"/>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67"/>
      <c r="J998" s="67"/>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67"/>
      <c r="J999" s="67"/>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67"/>
      <c r="J1000" s="67"/>
      <c r="K1000" s="4"/>
      <c r="L1000" s="4"/>
      <c r="M1000" s="4"/>
      <c r="N1000" s="4"/>
      <c r="O1000" s="4"/>
      <c r="P1000" s="4"/>
      <c r="Q1000" s="4"/>
      <c r="R1000" s="4"/>
      <c r="S1000" s="4"/>
      <c r="T1000" s="4"/>
      <c r="U1000" s="4"/>
      <c r="V1000" s="4"/>
      <c r="W1000" s="4"/>
      <c r="X1000" s="4"/>
      <c r="Y1000" s="4"/>
      <c r="Z1000" s="4"/>
    </row>
  </sheetData>
  <mergeCells count="22">
    <mergeCell ref="A100:I100"/>
    <mergeCell ref="A105:I105"/>
    <mergeCell ref="A138:I138"/>
    <mergeCell ref="A134:I134"/>
    <mergeCell ref="A1:I1"/>
    <mergeCell ref="A5:I5"/>
    <mergeCell ref="A2:I2"/>
    <mergeCell ref="A95:I95"/>
    <mergeCell ref="A90:I90"/>
    <mergeCell ref="A86:I86"/>
    <mergeCell ref="A68:I68"/>
    <mergeCell ref="A79:I79"/>
    <mergeCell ref="A52:I52"/>
    <mergeCell ref="A45:I45"/>
    <mergeCell ref="A40:I40"/>
    <mergeCell ref="A26:I26"/>
    <mergeCell ref="B59:I59"/>
    <mergeCell ref="A171:I171"/>
    <mergeCell ref="A178:I178"/>
    <mergeCell ref="A184:I184"/>
    <mergeCell ref="A117:I117"/>
    <mergeCell ref="A112:I112"/>
  </mergeCells>
  <conditionalFormatting sqref="B59:I59">
    <cfRule type="containsText" dxfId="0" priority="1" operator="containsText" text="GREATER THAN 50 FTE, MUST INCLUDE BENEFITS UNDER ACA STARTING YEAR">
      <formula>NOT(ISERROR(SEARCH(("GREATER THAN 50 FTE, MUST INCLUDE BENEFITS UNDER ACA STARTING YEAR"),(B59))))</formula>
    </cfRule>
  </conditionalFormatting>
  <dataValidations count="2">
    <dataValidation type="list" allowBlank="1" showErrorMessage="1" sqref="H80:H84 H87:H88 H91:H93 H96:H98 H101:H103 H106:H110 H113:H116 H118:H132 H135:H136" xr:uid="{00000000-0002-0000-0300-000000000000}">
      <formula1>$R$6:$R$8</formula1>
    </dataValidation>
    <dataValidation type="list" allowBlank="1" showErrorMessage="1" sqref="H139:H148 H150:H169" xr:uid="{00000000-0002-0000-0300-000001000000}">
      <formula1>$S$7:$S$8</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00"/>
  <sheetViews>
    <sheetView workbookViewId="0">
      <pane ySplit="5" topLeftCell="A6" activePane="bottomLeft" state="frozen"/>
      <selection pane="bottomLeft" activeCell="B7" sqref="B7"/>
    </sheetView>
  </sheetViews>
  <sheetFormatPr defaultColWidth="14.42578125" defaultRowHeight="15" customHeight="1"/>
  <cols>
    <col min="1" max="1" width="71.28515625" customWidth="1"/>
    <col min="2" max="2" width="14.28515625" customWidth="1"/>
    <col min="3" max="26" width="8.7109375" customWidth="1"/>
  </cols>
  <sheetData>
    <row r="1" spans="1:26" ht="18.75">
      <c r="A1" s="322" t="str">
        <f>TEXT(Assumptions!A1,1)</f>
        <v>Leman Academy of Excellence</v>
      </c>
      <c r="B1" s="297"/>
      <c r="C1" s="80"/>
      <c r="D1" s="80"/>
      <c r="E1" s="80"/>
      <c r="F1" s="80"/>
      <c r="G1" s="80"/>
      <c r="H1" s="80"/>
      <c r="I1" s="80"/>
      <c r="J1" s="80"/>
      <c r="K1" s="80"/>
      <c r="L1" s="80"/>
      <c r="M1" s="80"/>
      <c r="N1" s="80"/>
      <c r="O1" s="80"/>
      <c r="P1" s="80"/>
      <c r="Q1" s="80"/>
      <c r="R1" s="80"/>
      <c r="S1" s="80"/>
      <c r="T1" s="80"/>
      <c r="U1" s="80"/>
      <c r="V1" s="80"/>
      <c r="W1" s="80"/>
      <c r="X1" s="80"/>
      <c r="Y1" s="80"/>
      <c r="Z1" s="80"/>
    </row>
    <row r="2" spans="1:26" ht="18.75">
      <c r="A2" s="323" t="s">
        <v>141</v>
      </c>
      <c r="B2" s="305"/>
      <c r="C2" s="80"/>
      <c r="D2" s="80"/>
      <c r="E2" s="80"/>
      <c r="F2" s="80"/>
      <c r="G2" s="80"/>
      <c r="H2" s="80"/>
      <c r="I2" s="80"/>
      <c r="J2" s="80"/>
      <c r="K2" s="80"/>
      <c r="L2" s="80"/>
      <c r="M2" s="80"/>
      <c r="N2" s="80"/>
      <c r="O2" s="80"/>
      <c r="P2" s="80"/>
      <c r="Q2" s="80"/>
      <c r="R2" s="80"/>
      <c r="S2" s="80"/>
      <c r="T2" s="80"/>
      <c r="U2" s="80"/>
      <c r="V2" s="80"/>
      <c r="W2" s="80"/>
      <c r="X2" s="80"/>
      <c r="Y2" s="80"/>
      <c r="Z2" s="80"/>
    </row>
    <row r="3" spans="1:26" ht="18.75">
      <c r="A3" s="81" t="s">
        <v>20</v>
      </c>
      <c r="B3" s="82">
        <f>Assumptions!B21</f>
        <v>0</v>
      </c>
      <c r="C3" s="80"/>
      <c r="D3" s="80"/>
      <c r="E3" s="80"/>
      <c r="F3" s="80"/>
      <c r="G3" s="80"/>
      <c r="H3" s="80"/>
      <c r="I3" s="80"/>
      <c r="J3" s="80"/>
      <c r="K3" s="80"/>
      <c r="L3" s="80"/>
      <c r="M3" s="80"/>
      <c r="N3" s="80"/>
      <c r="O3" s="80"/>
      <c r="P3" s="80"/>
      <c r="Q3" s="80"/>
      <c r="R3" s="80"/>
      <c r="S3" s="80"/>
      <c r="T3" s="80"/>
      <c r="U3" s="80"/>
      <c r="V3" s="80"/>
      <c r="W3" s="80"/>
      <c r="X3" s="80"/>
      <c r="Y3" s="80"/>
      <c r="Z3" s="80"/>
    </row>
    <row r="4" spans="1:26">
      <c r="A4" s="81" t="s">
        <v>142</v>
      </c>
      <c r="B4" s="82">
        <f>Assumptions!B22</f>
        <v>0</v>
      </c>
    </row>
    <row r="5" spans="1:26" ht="15.75">
      <c r="A5" s="83"/>
      <c r="B5" s="84" t="s">
        <v>143</v>
      </c>
    </row>
    <row r="6" spans="1:26" ht="18.75">
      <c r="A6" s="324" t="s">
        <v>144</v>
      </c>
      <c r="B6" s="312"/>
    </row>
    <row r="7" spans="1:26">
      <c r="A7" s="85" t="s">
        <v>145</v>
      </c>
      <c r="B7" s="86"/>
    </row>
    <row r="8" spans="1:26">
      <c r="A8" s="87" t="s">
        <v>146</v>
      </c>
      <c r="B8" s="88">
        <f>ROUND(Assumptions!B28*Assumptions!B21,0)</f>
        <v>0</v>
      </c>
    </row>
    <row r="9" spans="1:26">
      <c r="A9" s="87" t="s">
        <v>147</v>
      </c>
      <c r="B9" s="88">
        <f>Assumptions!B29</f>
        <v>0</v>
      </c>
    </row>
    <row r="10" spans="1:26">
      <c r="A10" s="87" t="s">
        <v>148</v>
      </c>
      <c r="B10" s="88">
        <f>Assumptions!B31</f>
        <v>0</v>
      </c>
    </row>
    <row r="11" spans="1:26">
      <c r="A11" s="87" t="s">
        <v>149</v>
      </c>
      <c r="B11" s="88">
        <f>Assumptions!B30</f>
        <v>0</v>
      </c>
    </row>
    <row r="12" spans="1:26">
      <c r="A12" s="87" t="s">
        <v>150</v>
      </c>
      <c r="B12" s="88">
        <f>Assumptions!B33</f>
        <v>0</v>
      </c>
    </row>
    <row r="13" spans="1:26">
      <c r="A13" s="87" t="s">
        <v>151</v>
      </c>
      <c r="B13" s="88">
        <f>Assumptions!B32</f>
        <v>0</v>
      </c>
    </row>
    <row r="14" spans="1:26">
      <c r="A14" s="87" t="s">
        <v>152</v>
      </c>
      <c r="B14" s="88">
        <f>Assumptions!B35</f>
        <v>0</v>
      </c>
      <c r="C14" s="4"/>
      <c r="D14" s="4"/>
      <c r="E14" s="4"/>
      <c r="F14" s="4"/>
      <c r="G14" s="4"/>
      <c r="H14" s="4"/>
      <c r="I14" s="4"/>
      <c r="J14" s="4"/>
      <c r="K14" s="4"/>
      <c r="L14" s="4"/>
      <c r="M14" s="4"/>
      <c r="N14" s="4"/>
      <c r="O14" s="4"/>
      <c r="P14" s="4"/>
      <c r="Q14" s="4"/>
      <c r="R14" s="4"/>
      <c r="S14" s="4"/>
      <c r="T14" s="4"/>
      <c r="U14" s="4"/>
      <c r="V14" s="4"/>
      <c r="W14" s="4"/>
      <c r="X14" s="4"/>
      <c r="Y14" s="4"/>
      <c r="Z14" s="4"/>
    </row>
    <row r="15" spans="1:26">
      <c r="A15" s="87" t="s">
        <v>153</v>
      </c>
      <c r="B15" s="89">
        <f>Assumptions!B34</f>
        <v>0</v>
      </c>
    </row>
    <row r="16" spans="1:26">
      <c r="A16" s="85" t="s">
        <v>154</v>
      </c>
      <c r="B16" s="90">
        <f>SUM(B8:B15)</f>
        <v>0</v>
      </c>
    </row>
    <row r="17" spans="1:24">
      <c r="A17" s="87"/>
      <c r="B17" s="88"/>
    </row>
    <row r="18" spans="1:24">
      <c r="A18" s="85" t="s">
        <v>155</v>
      </c>
      <c r="B18" s="88"/>
    </row>
    <row r="19" spans="1:24">
      <c r="A19" s="87" t="s">
        <v>156</v>
      </c>
      <c r="B19" s="88">
        <f>ROUND(Assumptions!B22*Assumptions!B27,0)</f>
        <v>0</v>
      </c>
    </row>
    <row r="20" spans="1:24">
      <c r="A20" s="87" t="s">
        <v>157</v>
      </c>
      <c r="B20" s="88">
        <f>ROUND(Assumptions!B36*Assumptions!B22,0)</f>
        <v>0</v>
      </c>
    </row>
    <row r="21" spans="1:24">
      <c r="A21" s="87" t="s">
        <v>158</v>
      </c>
      <c r="B21" s="89">
        <f>Assumptions!B38</f>
        <v>0</v>
      </c>
    </row>
    <row r="22" spans="1:24">
      <c r="A22" s="85" t="s">
        <v>159</v>
      </c>
      <c r="B22" s="90">
        <f>SUM(B19:B21)</f>
        <v>0</v>
      </c>
    </row>
    <row r="23" spans="1:24">
      <c r="A23" s="87"/>
      <c r="B23" s="88"/>
    </row>
    <row r="24" spans="1:24">
      <c r="A24" s="85" t="s">
        <v>160</v>
      </c>
      <c r="B24" s="88"/>
    </row>
    <row r="25" spans="1:24">
      <c r="A25" s="87" t="s">
        <v>161</v>
      </c>
      <c r="B25" s="89">
        <f>Assumptions!B37</f>
        <v>0</v>
      </c>
    </row>
    <row r="26" spans="1:24">
      <c r="A26" s="85" t="s">
        <v>162</v>
      </c>
      <c r="B26" s="90">
        <f>SUM(B25)</f>
        <v>0</v>
      </c>
    </row>
    <row r="27" spans="1:24">
      <c r="A27" s="85"/>
      <c r="B27" s="90"/>
    </row>
    <row r="28" spans="1:24" ht="15.75">
      <c r="A28" s="91" t="s">
        <v>163</v>
      </c>
      <c r="B28" s="92">
        <f>SUM(B16,B22,B26)</f>
        <v>0</v>
      </c>
      <c r="W28" s="93">
        <f>(Assumptions!B27*Assumptions!B22+Assumptions!B28*Assumptions!B21+Assumptions!B36*Assumptions!B22+Assumptions!B29+Assumptions!B30+Assumptions!B31+Assumptions!B32+Assumptions!B33+Assumptions!B34+Assumptions!B35+Assumptions!B37+Assumptions!B38)-$B$28</f>
        <v>0</v>
      </c>
      <c r="X28" t="s">
        <v>164</v>
      </c>
    </row>
    <row r="29" spans="1:24">
      <c r="B29" s="88"/>
    </row>
    <row r="30" spans="1:24" ht="18.75">
      <c r="A30" s="94" t="s">
        <v>165</v>
      </c>
      <c r="B30" s="95"/>
    </row>
    <row r="31" spans="1:24">
      <c r="A31" s="85" t="s">
        <v>166</v>
      </c>
      <c r="B31" s="88"/>
    </row>
    <row r="32" spans="1:24">
      <c r="A32" s="87" t="s">
        <v>167</v>
      </c>
      <c r="B32" s="88">
        <f>Assumptions!B41</f>
        <v>0</v>
      </c>
    </row>
    <row r="33" spans="1:26">
      <c r="A33" s="87" t="s">
        <v>168</v>
      </c>
      <c r="B33" s="89">
        <f>Assumptions!B42</f>
        <v>0</v>
      </c>
      <c r="C33" s="4"/>
      <c r="D33" s="4"/>
      <c r="E33" s="4"/>
      <c r="F33" s="4"/>
      <c r="G33" s="4"/>
      <c r="H33" s="4"/>
      <c r="I33" s="4"/>
      <c r="J33" s="4"/>
      <c r="K33" s="4"/>
      <c r="L33" s="4"/>
      <c r="M33" s="4"/>
      <c r="N33" s="4"/>
      <c r="O33" s="4"/>
      <c r="P33" s="4"/>
      <c r="Q33" s="4"/>
      <c r="R33" s="4"/>
      <c r="S33" s="4"/>
      <c r="T33" s="4"/>
      <c r="U33" s="4"/>
      <c r="V33" s="4"/>
      <c r="W33" s="4"/>
      <c r="X33" s="4"/>
      <c r="Y33" s="4"/>
      <c r="Z33" s="4"/>
    </row>
    <row r="34" spans="1:26">
      <c r="A34" s="85" t="s">
        <v>169</v>
      </c>
      <c r="B34" s="90">
        <f>SUM(B32:B33)</f>
        <v>0</v>
      </c>
    </row>
    <row r="35" spans="1:26">
      <c r="A35" s="85" t="s">
        <v>170</v>
      </c>
      <c r="B35" s="88"/>
      <c r="C35" s="4"/>
      <c r="D35" s="4"/>
      <c r="E35" s="4"/>
      <c r="F35" s="4"/>
      <c r="G35" s="4"/>
      <c r="H35" s="4"/>
      <c r="I35" s="4"/>
      <c r="J35" s="4"/>
      <c r="K35" s="4"/>
      <c r="L35" s="4"/>
      <c r="M35" s="4"/>
      <c r="N35" s="4"/>
      <c r="O35" s="4"/>
      <c r="P35" s="4"/>
      <c r="Q35" s="4"/>
      <c r="R35" s="4"/>
      <c r="S35" s="4"/>
      <c r="T35" s="4"/>
      <c r="U35" s="4"/>
      <c r="V35" s="4"/>
      <c r="W35" s="4"/>
      <c r="X35" s="4"/>
      <c r="Y35" s="4"/>
      <c r="Z35" s="4"/>
    </row>
    <row r="36" spans="1:26">
      <c r="A36" s="87" t="s">
        <v>9</v>
      </c>
      <c r="B36" s="88">
        <f>Assumptions!B46</f>
        <v>0</v>
      </c>
      <c r="C36" s="4"/>
      <c r="D36" s="4"/>
      <c r="E36" s="4"/>
      <c r="F36" s="4"/>
      <c r="G36" s="4"/>
      <c r="H36" s="4"/>
      <c r="I36" s="4"/>
      <c r="J36" s="4"/>
      <c r="K36" s="4"/>
      <c r="L36" s="4"/>
      <c r="M36" s="4"/>
      <c r="N36" s="4"/>
      <c r="O36" s="4"/>
      <c r="P36" s="4"/>
      <c r="Q36" s="4"/>
      <c r="R36" s="4"/>
      <c r="S36" s="4"/>
      <c r="T36" s="4"/>
      <c r="U36" s="4"/>
      <c r="V36" s="4"/>
      <c r="W36" s="4"/>
      <c r="X36" s="4"/>
      <c r="Y36" s="4"/>
      <c r="Z36" s="4"/>
    </row>
    <row r="37" spans="1:26">
      <c r="A37" s="87" t="s">
        <v>171</v>
      </c>
      <c r="B37" s="88">
        <f>Assumptions!B47</f>
        <v>0</v>
      </c>
      <c r="C37" s="4"/>
      <c r="D37" s="4"/>
      <c r="E37" s="4"/>
      <c r="F37" s="4"/>
      <c r="G37" s="4"/>
      <c r="H37" s="4"/>
      <c r="I37" s="4"/>
      <c r="J37" s="4"/>
      <c r="K37" s="4"/>
      <c r="L37" s="4"/>
      <c r="M37" s="4"/>
      <c r="N37" s="4"/>
      <c r="O37" s="4"/>
      <c r="P37" s="4"/>
      <c r="Q37" s="4"/>
      <c r="R37" s="4"/>
      <c r="S37" s="4"/>
      <c r="T37" s="4"/>
      <c r="U37" s="4"/>
      <c r="V37" s="4"/>
      <c r="W37" s="4"/>
      <c r="X37" s="4"/>
      <c r="Y37" s="4"/>
      <c r="Z37" s="4"/>
    </row>
    <row r="38" spans="1:26">
      <c r="A38" s="87" t="s">
        <v>172</v>
      </c>
      <c r="B38" s="88">
        <f>Assumptions!B48</f>
        <v>0</v>
      </c>
      <c r="C38" s="4"/>
      <c r="D38" s="4"/>
      <c r="E38" s="4"/>
      <c r="F38" s="4"/>
      <c r="G38" s="4"/>
      <c r="H38" s="4"/>
      <c r="I38" s="4"/>
      <c r="J38" s="4"/>
      <c r="K38" s="4"/>
      <c r="L38" s="4"/>
      <c r="M38" s="4"/>
      <c r="N38" s="4"/>
      <c r="O38" s="4"/>
      <c r="P38" s="4"/>
      <c r="Q38" s="4"/>
      <c r="R38" s="4"/>
      <c r="S38" s="4"/>
      <c r="T38" s="4"/>
      <c r="U38" s="4"/>
      <c r="V38" s="4"/>
      <c r="W38" s="4"/>
      <c r="X38" s="4"/>
      <c r="Y38" s="4"/>
      <c r="Z38" s="4"/>
    </row>
    <row r="39" spans="1:26">
      <c r="A39" s="87" t="s">
        <v>173</v>
      </c>
      <c r="B39" s="89">
        <f>Assumptions!B49</f>
        <v>0</v>
      </c>
      <c r="C39" s="4"/>
      <c r="D39" s="4"/>
      <c r="E39" s="4"/>
      <c r="F39" s="4"/>
      <c r="G39" s="4"/>
      <c r="H39" s="4"/>
      <c r="I39" s="4"/>
      <c r="J39" s="4"/>
      <c r="K39" s="4"/>
      <c r="L39" s="4"/>
      <c r="M39" s="4"/>
      <c r="N39" s="4"/>
      <c r="O39" s="4"/>
      <c r="P39" s="4"/>
      <c r="Q39" s="4"/>
      <c r="R39" s="4"/>
      <c r="S39" s="4"/>
      <c r="T39" s="4"/>
      <c r="U39" s="4"/>
      <c r="V39" s="4"/>
      <c r="W39" s="4"/>
      <c r="X39" s="4"/>
      <c r="Y39" s="4"/>
      <c r="Z39" s="4"/>
    </row>
    <row r="40" spans="1:26">
      <c r="A40" s="85" t="s">
        <v>174</v>
      </c>
      <c r="B40" s="90">
        <f>SUM(B36:B39)</f>
        <v>0</v>
      </c>
      <c r="C40" s="4"/>
      <c r="D40" s="4"/>
      <c r="E40" s="4"/>
      <c r="F40" s="4"/>
      <c r="G40" s="4"/>
      <c r="H40" s="4"/>
      <c r="I40" s="4"/>
      <c r="J40" s="4"/>
      <c r="K40" s="4"/>
      <c r="L40" s="4"/>
      <c r="M40" s="4"/>
      <c r="N40" s="4"/>
      <c r="O40" s="4"/>
      <c r="P40" s="4"/>
      <c r="Q40" s="4"/>
      <c r="R40" s="4"/>
      <c r="S40" s="4"/>
      <c r="T40" s="4"/>
      <c r="U40" s="4"/>
      <c r="V40" s="4"/>
      <c r="W40" s="4"/>
      <c r="X40" s="4"/>
      <c r="Y40" s="4"/>
      <c r="Z40" s="4"/>
    </row>
    <row r="41" spans="1:26">
      <c r="A41" s="85" t="s">
        <v>175</v>
      </c>
      <c r="B41" s="90"/>
      <c r="C41" s="4"/>
      <c r="D41" s="4"/>
      <c r="E41" s="4"/>
      <c r="F41" s="4"/>
      <c r="G41" s="4"/>
      <c r="H41" s="4"/>
      <c r="I41" s="4"/>
      <c r="J41" s="4"/>
      <c r="K41" s="4"/>
      <c r="L41" s="4"/>
      <c r="M41" s="4"/>
      <c r="N41" s="4"/>
      <c r="O41" s="4"/>
      <c r="P41" s="4"/>
      <c r="Q41" s="4"/>
      <c r="R41" s="4"/>
      <c r="S41" s="4"/>
      <c r="T41" s="4"/>
      <c r="U41" s="4"/>
      <c r="V41" s="4"/>
      <c r="W41" s="4"/>
      <c r="X41" s="4"/>
      <c r="Y41" s="4"/>
      <c r="Z41" s="4"/>
    </row>
    <row r="42" spans="1:26">
      <c r="A42" s="87" t="s">
        <v>176</v>
      </c>
      <c r="B42" s="88">
        <f>Assumptions!B53</f>
        <v>0</v>
      </c>
      <c r="C42" s="4"/>
      <c r="D42" s="4"/>
      <c r="E42" s="4"/>
      <c r="F42" s="4"/>
      <c r="G42" s="4"/>
      <c r="H42" s="4"/>
      <c r="I42" s="4"/>
      <c r="J42" s="4"/>
      <c r="K42" s="4"/>
      <c r="L42" s="4"/>
      <c r="M42" s="4"/>
      <c r="N42" s="4"/>
      <c r="O42" s="4"/>
      <c r="P42" s="4"/>
      <c r="Q42" s="4"/>
      <c r="R42" s="4"/>
      <c r="S42" s="4"/>
      <c r="T42" s="4"/>
      <c r="U42" s="4"/>
      <c r="V42" s="4"/>
      <c r="W42" s="4"/>
      <c r="X42" s="4"/>
      <c r="Y42" s="4"/>
      <c r="Z42" s="4"/>
    </row>
    <row r="43" spans="1:26">
      <c r="A43" s="87" t="s">
        <v>177</v>
      </c>
      <c r="B43" s="88">
        <f>Assumptions!B54</f>
        <v>0</v>
      </c>
      <c r="C43" s="4"/>
      <c r="D43" s="4"/>
      <c r="E43" s="4"/>
      <c r="F43" s="4"/>
      <c r="G43" s="4"/>
      <c r="H43" s="4"/>
      <c r="I43" s="4"/>
      <c r="J43" s="4"/>
      <c r="K43" s="4"/>
      <c r="L43" s="4"/>
      <c r="M43" s="4"/>
      <c r="N43" s="4"/>
      <c r="O43" s="4"/>
      <c r="P43" s="4"/>
      <c r="Q43" s="4"/>
      <c r="R43" s="4"/>
      <c r="S43" s="4"/>
      <c r="T43" s="4"/>
      <c r="U43" s="4"/>
      <c r="V43" s="4"/>
      <c r="W43" s="4"/>
      <c r="X43" s="4"/>
      <c r="Y43" s="4"/>
      <c r="Z43" s="4"/>
    </row>
    <row r="44" spans="1:26">
      <c r="A44" s="87" t="s">
        <v>178</v>
      </c>
      <c r="B44" s="89">
        <f>Assumptions!B55*Assumptions!B57*Assumptions!B56</f>
        <v>0</v>
      </c>
      <c r="C44" s="4"/>
      <c r="D44" s="4"/>
      <c r="E44" s="4"/>
      <c r="F44" s="4"/>
      <c r="G44" s="4"/>
      <c r="H44" s="4"/>
      <c r="I44" s="4"/>
      <c r="J44" s="4"/>
      <c r="K44" s="4"/>
      <c r="L44" s="4"/>
      <c r="M44" s="4"/>
      <c r="N44" s="4"/>
      <c r="O44" s="4"/>
      <c r="P44" s="4"/>
      <c r="Q44" s="4"/>
      <c r="R44" s="4"/>
      <c r="S44" s="4"/>
      <c r="T44" s="4"/>
      <c r="U44" s="4"/>
      <c r="V44" s="4"/>
      <c r="W44" s="4"/>
      <c r="X44" s="4"/>
      <c r="Y44" s="4"/>
      <c r="Z44" s="4"/>
    </row>
    <row r="45" spans="1:26">
      <c r="A45" s="85" t="s">
        <v>179</v>
      </c>
      <c r="B45" s="90">
        <f>SUM(B42:B44)</f>
        <v>0</v>
      </c>
      <c r="C45" s="4"/>
      <c r="D45" s="4"/>
      <c r="E45" s="4"/>
      <c r="F45" s="4"/>
      <c r="G45" s="4"/>
      <c r="H45" s="4"/>
      <c r="I45" s="4"/>
      <c r="J45" s="4"/>
      <c r="K45" s="4"/>
      <c r="L45" s="4"/>
      <c r="M45" s="4"/>
      <c r="N45" s="4"/>
      <c r="O45" s="4"/>
      <c r="P45" s="4"/>
      <c r="Q45" s="4"/>
      <c r="R45" s="4"/>
      <c r="S45" s="4"/>
      <c r="T45" s="4"/>
      <c r="U45" s="4"/>
      <c r="V45" s="4"/>
      <c r="W45" s="96">
        <f>(Assumptions!B55*Assumptions!B56*Assumptions!B57+Assumptions!B54+Assumptions!B53+Assumptions!B49+Assumptions!B48+Assumptions!B47+Assumptions!B46+Assumptions!B42+Assumptions!B41)-'Year 1'!$B$45-'Year 1'!$B$40-'Year 1'!$B$34</f>
        <v>-1629760</v>
      </c>
      <c r="X45" s="4"/>
      <c r="Y45" s="4"/>
      <c r="Z45" s="4"/>
    </row>
    <row r="46" spans="1:26">
      <c r="A46" s="85" t="s">
        <v>180</v>
      </c>
      <c r="B46" s="88"/>
      <c r="C46" s="4"/>
      <c r="D46" s="4"/>
      <c r="E46" s="4"/>
      <c r="F46" s="4"/>
      <c r="G46" s="4"/>
      <c r="H46" s="4"/>
      <c r="I46" s="4"/>
      <c r="J46" s="4"/>
      <c r="K46" s="4"/>
      <c r="L46" s="4"/>
      <c r="M46" s="4"/>
      <c r="N46" s="4"/>
      <c r="O46" s="4"/>
      <c r="P46" s="4"/>
      <c r="Q46" s="4"/>
      <c r="R46" s="4"/>
      <c r="S46" s="4"/>
      <c r="T46" s="4"/>
      <c r="U46" s="4"/>
      <c r="V46" s="4"/>
      <c r="W46" s="4"/>
      <c r="X46" s="4"/>
      <c r="Y46" s="4"/>
      <c r="Z46" s="4"/>
    </row>
    <row r="47" spans="1:26">
      <c r="A47" s="87" t="s">
        <v>181</v>
      </c>
      <c r="B47" s="88">
        <f>ROUND((B34+B40+B45)*Assumptions!B60,0)</f>
        <v>0</v>
      </c>
      <c r="C47" s="97"/>
      <c r="D47" s="4"/>
      <c r="E47" s="4"/>
      <c r="F47" s="4"/>
      <c r="G47" s="4"/>
      <c r="H47" s="4"/>
      <c r="I47" s="4"/>
      <c r="J47" s="4"/>
      <c r="K47" s="4"/>
      <c r="L47" s="4"/>
      <c r="M47" s="4"/>
      <c r="N47" s="4"/>
      <c r="O47" s="4"/>
      <c r="P47" s="4"/>
      <c r="Q47" s="4"/>
      <c r="R47" s="4"/>
      <c r="S47" s="4"/>
      <c r="T47" s="4"/>
      <c r="U47" s="4"/>
      <c r="V47" s="4"/>
      <c r="W47" s="4"/>
      <c r="X47" s="4"/>
      <c r="Y47" s="4"/>
      <c r="Z47" s="4"/>
    </row>
    <row r="48" spans="1:26">
      <c r="A48" s="87" t="s">
        <v>182</v>
      </c>
      <c r="B48" s="88">
        <f>ROUND((B34+B40+B45)*Assumptions!B61,0)</f>
        <v>0</v>
      </c>
      <c r="C48" s="97"/>
      <c r="D48" s="4"/>
      <c r="E48" s="4"/>
      <c r="F48" s="4"/>
      <c r="G48" s="4"/>
      <c r="H48" s="4"/>
      <c r="I48" s="4"/>
      <c r="J48" s="4"/>
      <c r="K48" s="4"/>
      <c r="L48" s="4"/>
      <c r="M48" s="4"/>
      <c r="N48" s="4"/>
      <c r="O48" s="4"/>
      <c r="P48" s="4"/>
      <c r="Q48" s="4"/>
      <c r="R48" s="4"/>
      <c r="S48" s="4"/>
      <c r="T48" s="4"/>
      <c r="U48" s="4"/>
      <c r="V48" s="4"/>
      <c r="W48" s="4"/>
      <c r="X48" s="4"/>
      <c r="Y48" s="4"/>
      <c r="Z48" s="4"/>
    </row>
    <row r="49" spans="1:26">
      <c r="A49" s="87" t="s">
        <v>183</v>
      </c>
      <c r="B49" s="88">
        <f>ROUND((Assumptions!$B$43+Assumptions!$B$50)*Assumptions!B62,0)</f>
        <v>0</v>
      </c>
      <c r="C49" s="4"/>
      <c r="D49" s="4"/>
      <c r="E49" s="4"/>
      <c r="F49" s="4"/>
      <c r="G49" s="4"/>
      <c r="H49" s="4"/>
      <c r="I49" s="4"/>
      <c r="J49" s="4"/>
      <c r="K49" s="4"/>
      <c r="L49" s="4"/>
      <c r="M49" s="4"/>
      <c r="N49" s="4"/>
      <c r="O49" s="4"/>
      <c r="P49" s="4"/>
      <c r="Q49" s="4"/>
      <c r="R49" s="4"/>
      <c r="S49" s="4"/>
      <c r="T49" s="4"/>
      <c r="U49" s="4"/>
      <c r="V49" s="4"/>
      <c r="W49" s="4"/>
      <c r="X49" s="4"/>
      <c r="Y49" s="4"/>
      <c r="Z49" s="4"/>
    </row>
    <row r="50" spans="1:26">
      <c r="A50" s="87" t="s">
        <v>184</v>
      </c>
      <c r="B50" s="88">
        <f>ROUND((Assumptions!$B$43+Assumptions!$B$50)*Assumptions!B63,0)</f>
        <v>0</v>
      </c>
      <c r="C50" s="4"/>
      <c r="D50" s="4"/>
      <c r="E50" s="4"/>
      <c r="F50" s="4"/>
      <c r="G50" s="4"/>
      <c r="H50" s="4"/>
      <c r="I50" s="4"/>
      <c r="J50" s="4"/>
      <c r="K50" s="4"/>
      <c r="L50" s="4"/>
      <c r="M50" s="4"/>
      <c r="N50" s="4"/>
      <c r="O50" s="4"/>
      <c r="P50" s="4"/>
      <c r="Q50" s="4"/>
      <c r="R50" s="4"/>
      <c r="S50" s="4"/>
      <c r="T50" s="4"/>
      <c r="U50" s="4"/>
      <c r="V50" s="4"/>
      <c r="W50" s="4"/>
      <c r="X50" s="4"/>
      <c r="Y50" s="4"/>
      <c r="Z50" s="4"/>
    </row>
    <row r="51" spans="1:26">
      <c r="A51" s="87" t="s">
        <v>185</v>
      </c>
      <c r="B51" s="88">
        <f>ROUND((Assumptions!$B$43+Assumptions!$B$50)*Assumptions!B64,0)</f>
        <v>0</v>
      </c>
      <c r="C51" s="4"/>
      <c r="D51" s="4"/>
      <c r="E51" s="4"/>
      <c r="F51" s="4"/>
      <c r="G51" s="4"/>
      <c r="H51" s="4"/>
      <c r="I51" s="4"/>
      <c r="J51" s="4"/>
      <c r="K51" s="4"/>
      <c r="L51" s="4"/>
      <c r="M51" s="4"/>
      <c r="N51" s="4"/>
      <c r="O51" s="4"/>
      <c r="P51" s="4"/>
      <c r="Q51" s="4"/>
      <c r="R51" s="4"/>
      <c r="S51" s="4"/>
      <c r="T51" s="4"/>
      <c r="U51" s="4"/>
      <c r="V51" s="4"/>
      <c r="W51" s="4"/>
      <c r="X51" s="4"/>
      <c r="Y51" s="4"/>
      <c r="Z51" s="4"/>
    </row>
    <row r="52" spans="1:26">
      <c r="A52" s="65" t="s">
        <v>186</v>
      </c>
      <c r="B52" s="88">
        <f>ROUND((Assumptions!$B$43+Assumptions!$B$50)*Assumptions!B65,0)</f>
        <v>0</v>
      </c>
      <c r="C52" s="4"/>
      <c r="D52" s="4"/>
      <c r="E52" s="4"/>
      <c r="F52" s="4"/>
      <c r="G52" s="4"/>
      <c r="H52" s="4"/>
      <c r="I52" s="4"/>
      <c r="J52" s="4"/>
      <c r="K52" s="4"/>
      <c r="L52" s="4"/>
      <c r="M52" s="4"/>
      <c r="N52" s="4"/>
      <c r="O52" s="4"/>
      <c r="P52" s="4"/>
      <c r="Q52" s="4"/>
      <c r="R52" s="4"/>
      <c r="S52" s="4"/>
      <c r="T52" s="4"/>
      <c r="U52" s="4"/>
      <c r="V52" s="4"/>
      <c r="W52" s="4"/>
      <c r="X52" s="4"/>
      <c r="Y52" s="4"/>
      <c r="Z52" s="4"/>
    </row>
    <row r="53" spans="1:26">
      <c r="A53" s="87" t="s">
        <v>33</v>
      </c>
      <c r="B53" s="89">
        <f>ROUND((Assumptions!$B$43+Assumptions!$B$50)*Assumptions!B66,0)</f>
        <v>0</v>
      </c>
      <c r="C53" s="4"/>
      <c r="D53" s="4"/>
      <c r="E53" s="4"/>
      <c r="F53" s="4"/>
      <c r="G53" s="4"/>
      <c r="H53" s="4"/>
      <c r="I53" s="4"/>
      <c r="J53" s="4"/>
      <c r="K53" s="4"/>
      <c r="L53" s="4"/>
      <c r="M53" s="4"/>
      <c r="N53" s="4"/>
      <c r="O53" s="4"/>
      <c r="P53" s="4"/>
      <c r="Q53" s="4"/>
      <c r="R53" s="4"/>
      <c r="S53" s="4"/>
      <c r="T53" s="4"/>
      <c r="U53" s="4"/>
      <c r="V53" s="4"/>
      <c r="W53" s="4"/>
      <c r="X53" s="4"/>
      <c r="Y53" s="4"/>
      <c r="Z53" s="4"/>
    </row>
    <row r="54" spans="1:26">
      <c r="A54" s="85" t="s">
        <v>187</v>
      </c>
      <c r="B54" s="98">
        <f>SUM(B47:B53)</f>
        <v>0</v>
      </c>
      <c r="C54" s="4"/>
      <c r="D54" s="4"/>
      <c r="E54" s="4"/>
      <c r="F54" s="4"/>
      <c r="G54" s="4"/>
      <c r="H54" s="4"/>
      <c r="I54" s="4"/>
      <c r="J54" s="4"/>
      <c r="K54" s="4"/>
      <c r="L54" s="4"/>
      <c r="M54" s="4"/>
      <c r="N54" s="4"/>
      <c r="O54" s="4"/>
      <c r="P54" s="4"/>
      <c r="Q54" s="4"/>
      <c r="R54" s="4"/>
      <c r="S54" s="4"/>
      <c r="T54" s="4"/>
      <c r="U54" s="4"/>
      <c r="V54" s="4"/>
      <c r="W54" s="4"/>
      <c r="X54" s="4"/>
      <c r="Y54" s="4"/>
      <c r="Z54" s="4"/>
    </row>
    <row r="55" spans="1:26">
      <c r="A55" s="85" t="s">
        <v>188</v>
      </c>
      <c r="B55" s="90">
        <f>B34+B40+B54+B45</f>
        <v>0</v>
      </c>
      <c r="C55" s="4"/>
      <c r="D55" s="4"/>
      <c r="E55" s="4"/>
      <c r="F55" s="4"/>
      <c r="G55" s="4"/>
      <c r="H55" s="4"/>
      <c r="I55" s="4"/>
      <c r="J55" s="4"/>
      <c r="K55" s="4"/>
      <c r="L55" s="4"/>
      <c r="M55" s="4"/>
      <c r="N55" s="4"/>
      <c r="O55" s="4"/>
      <c r="P55" s="4"/>
      <c r="Q55" s="4"/>
      <c r="R55" s="4"/>
      <c r="S55" s="4"/>
      <c r="T55" s="4"/>
      <c r="U55" s="4"/>
      <c r="V55" s="4"/>
      <c r="W55" s="4"/>
      <c r="X55" s="4"/>
      <c r="Y55" s="4"/>
      <c r="Z55" s="4"/>
    </row>
    <row r="56" spans="1:26">
      <c r="A56" s="85"/>
      <c r="B56" s="90"/>
    </row>
    <row r="57" spans="1:26">
      <c r="A57" s="85" t="s">
        <v>189</v>
      </c>
      <c r="B57" s="88"/>
    </row>
    <row r="58" spans="1:26">
      <c r="A58" s="87" t="s">
        <v>58</v>
      </c>
      <c r="B58" s="88">
        <f>Assumptions!B69</f>
        <v>0</v>
      </c>
    </row>
    <row r="59" spans="1:26">
      <c r="A59" s="87" t="s">
        <v>59</v>
      </c>
      <c r="B59" s="88">
        <f>Assumptions!B70</f>
        <v>0</v>
      </c>
      <c r="C59" s="4"/>
      <c r="D59" s="4"/>
      <c r="E59" s="4"/>
      <c r="F59" s="4"/>
      <c r="G59" s="4"/>
      <c r="H59" s="4"/>
      <c r="I59" s="4"/>
      <c r="J59" s="4"/>
      <c r="K59" s="4"/>
      <c r="L59" s="4"/>
      <c r="M59" s="4"/>
      <c r="N59" s="4"/>
      <c r="O59" s="4"/>
      <c r="P59" s="4"/>
      <c r="Q59" s="4"/>
      <c r="R59" s="4"/>
      <c r="S59" s="4"/>
      <c r="T59" s="4"/>
      <c r="U59" s="4"/>
      <c r="V59" s="4"/>
      <c r="W59" s="4"/>
      <c r="X59" s="4"/>
      <c r="Y59" s="4"/>
      <c r="Z59" s="4"/>
    </row>
    <row r="60" spans="1:26">
      <c r="A60" s="87" t="s">
        <v>190</v>
      </c>
      <c r="B60" s="88">
        <f>Assumptions!B71</f>
        <v>0</v>
      </c>
      <c r="C60" s="4"/>
      <c r="D60" s="4"/>
      <c r="E60" s="4"/>
      <c r="F60" s="4"/>
      <c r="G60" s="4"/>
      <c r="H60" s="4"/>
      <c r="I60" s="4"/>
      <c r="J60" s="4"/>
      <c r="K60" s="4"/>
      <c r="L60" s="4"/>
      <c r="M60" s="4"/>
      <c r="N60" s="4"/>
      <c r="O60" s="4"/>
      <c r="P60" s="4"/>
      <c r="Q60" s="4"/>
      <c r="R60" s="4"/>
      <c r="S60" s="4"/>
      <c r="T60" s="4"/>
      <c r="U60" s="4"/>
      <c r="V60" s="4"/>
      <c r="W60" s="4"/>
      <c r="X60" s="4"/>
      <c r="Y60" s="4"/>
      <c r="Z60" s="4"/>
    </row>
    <row r="61" spans="1:26">
      <c r="A61" s="87" t="s">
        <v>191</v>
      </c>
      <c r="B61" s="88">
        <f>Assumptions!B72</f>
        <v>0</v>
      </c>
      <c r="C61" s="4"/>
      <c r="D61" s="4"/>
      <c r="E61" s="4"/>
      <c r="F61" s="4"/>
      <c r="G61" s="4"/>
      <c r="H61" s="4"/>
      <c r="I61" s="4"/>
      <c r="J61" s="4"/>
      <c r="K61" s="4"/>
      <c r="L61" s="4"/>
      <c r="M61" s="4"/>
      <c r="N61" s="4"/>
      <c r="O61" s="4"/>
      <c r="P61" s="4"/>
      <c r="Q61" s="4"/>
      <c r="R61" s="4"/>
      <c r="S61" s="4"/>
      <c r="T61" s="4"/>
      <c r="U61" s="4"/>
      <c r="V61" s="4"/>
      <c r="W61" s="4"/>
      <c r="X61" s="4"/>
      <c r="Y61" s="4"/>
      <c r="Z61" s="4"/>
    </row>
    <row r="62" spans="1:26">
      <c r="A62" s="87" t="s">
        <v>62</v>
      </c>
      <c r="B62" s="88">
        <f>Assumptions!B73</f>
        <v>0</v>
      </c>
      <c r="C62" s="4"/>
      <c r="D62" s="4"/>
      <c r="E62" s="4"/>
      <c r="F62" s="4"/>
      <c r="G62" s="4"/>
      <c r="H62" s="4"/>
      <c r="I62" s="4"/>
      <c r="J62" s="4"/>
      <c r="K62" s="4"/>
      <c r="L62" s="4"/>
      <c r="M62" s="4"/>
      <c r="N62" s="4"/>
      <c r="O62" s="4"/>
      <c r="P62" s="4"/>
      <c r="Q62" s="4"/>
      <c r="R62" s="4"/>
      <c r="S62" s="4"/>
      <c r="T62" s="4"/>
      <c r="U62" s="4"/>
      <c r="V62" s="4"/>
      <c r="W62" s="4"/>
      <c r="X62" s="4"/>
      <c r="Y62" s="4"/>
      <c r="Z62" s="4"/>
    </row>
    <row r="63" spans="1:26">
      <c r="A63" s="87" t="s">
        <v>63</v>
      </c>
      <c r="B63" s="88">
        <f>Assumptions!B74</f>
        <v>0</v>
      </c>
      <c r="C63" s="4"/>
      <c r="D63" s="4"/>
      <c r="E63" s="4"/>
      <c r="F63" s="4"/>
      <c r="G63" s="4"/>
      <c r="H63" s="4"/>
      <c r="I63" s="4"/>
      <c r="J63" s="4"/>
      <c r="K63" s="4"/>
      <c r="L63" s="4"/>
      <c r="M63" s="4"/>
      <c r="N63" s="4"/>
      <c r="O63" s="4"/>
      <c r="P63" s="4"/>
      <c r="Q63" s="4"/>
      <c r="R63" s="4"/>
      <c r="S63" s="4"/>
      <c r="T63" s="4"/>
      <c r="U63" s="4"/>
      <c r="V63" s="4"/>
      <c r="W63" s="4"/>
      <c r="X63" s="4"/>
      <c r="Y63" s="4"/>
      <c r="Z63" s="4"/>
    </row>
    <row r="64" spans="1:26">
      <c r="A64" s="87" t="s">
        <v>65</v>
      </c>
      <c r="B64" s="88">
        <f>Assumptions!B75</f>
        <v>0</v>
      </c>
      <c r="C64" s="4"/>
      <c r="D64" s="4"/>
      <c r="E64" s="4"/>
      <c r="F64" s="4"/>
      <c r="G64" s="4"/>
      <c r="H64" s="4"/>
      <c r="I64" s="4"/>
      <c r="J64" s="4"/>
      <c r="K64" s="4"/>
      <c r="L64" s="4"/>
      <c r="M64" s="4"/>
      <c r="N64" s="4"/>
      <c r="O64" s="4"/>
      <c r="P64" s="4"/>
      <c r="Q64" s="4"/>
      <c r="R64" s="4"/>
      <c r="S64" s="4"/>
      <c r="T64" s="4"/>
      <c r="U64" s="4"/>
      <c r="V64" s="4"/>
      <c r="W64" s="4"/>
      <c r="X64" s="4"/>
      <c r="Y64" s="4"/>
      <c r="Z64" s="4"/>
    </row>
    <row r="65" spans="1:26">
      <c r="A65" s="87" t="s">
        <v>192</v>
      </c>
      <c r="B65" s="88">
        <f>Assumptions!B76</f>
        <v>0</v>
      </c>
      <c r="C65" s="4"/>
      <c r="D65" s="4"/>
      <c r="E65" s="4"/>
      <c r="F65" s="4"/>
      <c r="G65" s="4"/>
      <c r="H65" s="4"/>
      <c r="I65" s="4"/>
      <c r="J65" s="4"/>
      <c r="K65" s="4"/>
      <c r="L65" s="4"/>
      <c r="M65" s="4"/>
      <c r="N65" s="4"/>
      <c r="O65" s="4"/>
      <c r="P65" s="4"/>
      <c r="Q65" s="4"/>
      <c r="R65" s="4"/>
      <c r="S65" s="4"/>
      <c r="T65" s="4"/>
      <c r="U65" s="4"/>
      <c r="V65" s="4"/>
      <c r="W65" s="4"/>
      <c r="X65" s="4"/>
      <c r="Y65" s="4"/>
      <c r="Z65" s="4"/>
    </row>
    <row r="66" spans="1:26">
      <c r="A66" s="87" t="s">
        <v>49</v>
      </c>
      <c r="B66" s="89">
        <f>Assumptions!B77</f>
        <v>0</v>
      </c>
      <c r="C66" s="4"/>
      <c r="D66" s="4"/>
      <c r="E66" s="4"/>
      <c r="F66" s="4"/>
      <c r="G66" s="4"/>
      <c r="H66" s="4"/>
      <c r="I66" s="4"/>
      <c r="J66" s="4"/>
      <c r="K66" s="4"/>
      <c r="L66" s="4"/>
      <c r="M66" s="4"/>
      <c r="N66" s="4"/>
      <c r="O66" s="4"/>
      <c r="P66" s="4"/>
      <c r="Q66" s="4"/>
      <c r="R66" s="4"/>
      <c r="S66" s="4"/>
      <c r="T66" s="4"/>
      <c r="U66" s="4"/>
      <c r="V66" s="4"/>
      <c r="W66" s="4"/>
      <c r="X66" s="4"/>
      <c r="Y66" s="4"/>
      <c r="Z66" s="4"/>
    </row>
    <row r="67" spans="1:26">
      <c r="A67" s="85" t="s">
        <v>193</v>
      </c>
      <c r="B67" s="90">
        <f>SUM(B58:B66)</f>
        <v>0</v>
      </c>
    </row>
    <row r="68" spans="1:26">
      <c r="A68" s="85"/>
      <c r="B68" s="90"/>
    </row>
    <row r="69" spans="1:26">
      <c r="A69" s="85" t="s">
        <v>194</v>
      </c>
      <c r="B69" s="88"/>
      <c r="C69" s="4"/>
      <c r="D69" s="4"/>
      <c r="E69" s="4"/>
      <c r="F69" s="4"/>
      <c r="G69" s="4"/>
      <c r="H69" s="4"/>
      <c r="I69" s="4"/>
      <c r="J69" s="4"/>
      <c r="K69" s="4"/>
      <c r="L69" s="4"/>
      <c r="M69" s="4"/>
      <c r="N69" s="4"/>
      <c r="O69" s="4"/>
      <c r="P69" s="4"/>
      <c r="Q69" s="4"/>
      <c r="R69" s="4"/>
      <c r="S69" s="4"/>
      <c r="T69" s="4"/>
      <c r="U69" s="4"/>
      <c r="V69" s="4"/>
      <c r="W69" s="4"/>
      <c r="X69" s="4"/>
      <c r="Y69" s="4"/>
      <c r="Z69" s="4"/>
    </row>
    <row r="70" spans="1:26">
      <c r="A70" s="87" t="s">
        <v>70</v>
      </c>
      <c r="B70" s="88">
        <f>Assumptions!B80</f>
        <v>0</v>
      </c>
      <c r="C70" s="4"/>
      <c r="D70" s="4"/>
      <c r="E70" s="4"/>
      <c r="F70" s="4"/>
      <c r="G70" s="4"/>
      <c r="H70" s="4"/>
      <c r="I70" s="4"/>
      <c r="J70" s="4"/>
      <c r="K70" s="4"/>
      <c r="L70" s="4"/>
      <c r="M70" s="4"/>
      <c r="N70" s="4"/>
      <c r="O70" s="4"/>
      <c r="P70" s="4"/>
      <c r="Q70" s="4"/>
      <c r="R70" s="4"/>
      <c r="S70" s="4"/>
      <c r="T70" s="4"/>
      <c r="U70" s="4"/>
      <c r="V70" s="4"/>
      <c r="W70" s="4"/>
      <c r="X70" s="4"/>
      <c r="Y70" s="4"/>
      <c r="Z70" s="4"/>
    </row>
    <row r="71" spans="1:26">
      <c r="A71" s="87" t="s">
        <v>72</v>
      </c>
      <c r="B71" s="88">
        <f>Assumptions!B81</f>
        <v>0</v>
      </c>
      <c r="C71" s="4"/>
      <c r="D71" s="4"/>
      <c r="E71" s="4"/>
      <c r="F71" s="4"/>
      <c r="G71" s="4"/>
      <c r="H71" s="4"/>
      <c r="I71" s="4"/>
      <c r="J71" s="4"/>
      <c r="K71" s="4"/>
      <c r="L71" s="4"/>
      <c r="M71" s="4"/>
      <c r="N71" s="4"/>
      <c r="O71" s="4"/>
      <c r="P71" s="4"/>
      <c r="Q71" s="4"/>
      <c r="R71" s="4"/>
      <c r="S71" s="4"/>
      <c r="T71" s="4"/>
      <c r="U71" s="4"/>
      <c r="V71" s="4"/>
      <c r="W71" s="4"/>
      <c r="X71" s="4"/>
      <c r="Y71" s="4"/>
      <c r="Z71" s="4"/>
    </row>
    <row r="72" spans="1:26">
      <c r="A72" s="87" t="s">
        <v>73</v>
      </c>
      <c r="B72" s="88">
        <f>Assumptions!B82</f>
        <v>0</v>
      </c>
      <c r="C72" s="4"/>
      <c r="D72" s="4"/>
      <c r="E72" s="4"/>
      <c r="F72" s="4"/>
      <c r="G72" s="4"/>
      <c r="H72" s="4"/>
      <c r="I72" s="4"/>
      <c r="J72" s="4"/>
      <c r="K72" s="4"/>
      <c r="L72" s="4"/>
      <c r="M72" s="4"/>
      <c r="N72" s="4"/>
      <c r="O72" s="4"/>
      <c r="P72" s="4"/>
      <c r="Q72" s="4"/>
      <c r="R72" s="4"/>
      <c r="S72" s="4"/>
      <c r="T72" s="4"/>
      <c r="U72" s="4"/>
      <c r="V72" s="4"/>
      <c r="W72" s="4"/>
      <c r="X72" s="4"/>
      <c r="Y72" s="4"/>
      <c r="Z72" s="4"/>
    </row>
    <row r="73" spans="1:26">
      <c r="A73" s="87" t="s">
        <v>75</v>
      </c>
      <c r="B73" s="88">
        <f>Assumptions!B83</f>
        <v>0</v>
      </c>
      <c r="C73" s="4"/>
      <c r="D73" s="4"/>
      <c r="E73" s="4"/>
      <c r="F73" s="4"/>
      <c r="G73" s="4"/>
      <c r="H73" s="4"/>
      <c r="I73" s="4"/>
      <c r="J73" s="4"/>
      <c r="K73" s="4"/>
      <c r="L73" s="4"/>
      <c r="M73" s="4"/>
      <c r="N73" s="4"/>
      <c r="O73" s="4"/>
      <c r="P73" s="4"/>
      <c r="Q73" s="4"/>
      <c r="R73" s="4"/>
      <c r="S73" s="4"/>
      <c r="T73" s="4"/>
      <c r="U73" s="4"/>
      <c r="V73" s="4"/>
      <c r="W73" s="4"/>
      <c r="X73" s="4"/>
      <c r="Y73" s="4"/>
      <c r="Z73" s="4"/>
    </row>
    <row r="74" spans="1:26">
      <c r="A74" s="87" t="s">
        <v>76</v>
      </c>
      <c r="B74" s="89">
        <f>Assumptions!B84</f>
        <v>0</v>
      </c>
      <c r="C74" s="4"/>
      <c r="D74" s="4"/>
      <c r="E74" s="4"/>
      <c r="F74" s="4"/>
      <c r="G74" s="4"/>
      <c r="H74" s="4"/>
      <c r="I74" s="4"/>
      <c r="J74" s="4"/>
      <c r="K74" s="4"/>
      <c r="L74" s="4"/>
      <c r="M74" s="4"/>
      <c r="N74" s="4"/>
      <c r="O74" s="4"/>
      <c r="P74" s="4"/>
      <c r="Q74" s="4"/>
      <c r="R74" s="4"/>
      <c r="S74" s="4"/>
      <c r="T74" s="4"/>
      <c r="U74" s="4"/>
      <c r="V74" s="4"/>
      <c r="W74" s="4"/>
      <c r="X74" s="4"/>
      <c r="Y74" s="4"/>
      <c r="Z74" s="4"/>
    </row>
    <row r="75" spans="1:26">
      <c r="A75" s="85" t="s">
        <v>195</v>
      </c>
      <c r="B75" s="90">
        <f>SUM(B70:B74)</f>
        <v>0</v>
      </c>
      <c r="C75" s="4"/>
      <c r="D75" s="4"/>
      <c r="E75" s="4"/>
      <c r="F75" s="4"/>
      <c r="G75" s="4"/>
      <c r="H75" s="4"/>
      <c r="I75" s="4"/>
      <c r="J75" s="4"/>
      <c r="K75" s="4"/>
      <c r="L75" s="4"/>
      <c r="M75" s="4"/>
      <c r="N75" s="4"/>
      <c r="O75" s="4"/>
      <c r="P75" s="4"/>
      <c r="Q75" s="4"/>
      <c r="R75" s="4"/>
      <c r="S75" s="4"/>
      <c r="T75" s="4"/>
      <c r="U75" s="4"/>
      <c r="V75" s="4"/>
      <c r="W75" s="4"/>
      <c r="X75" s="4"/>
      <c r="Y75" s="4"/>
      <c r="Z75" s="4"/>
    </row>
    <row r="76" spans="1:26">
      <c r="A76" s="85"/>
      <c r="B76" s="90"/>
      <c r="C76" s="4"/>
      <c r="D76" s="4"/>
      <c r="E76" s="4"/>
      <c r="F76" s="4"/>
      <c r="G76" s="4"/>
      <c r="H76" s="4"/>
      <c r="I76" s="4"/>
      <c r="J76" s="4"/>
      <c r="K76" s="4"/>
      <c r="L76" s="4"/>
      <c r="M76" s="4"/>
      <c r="N76" s="4"/>
      <c r="O76" s="4"/>
      <c r="P76" s="4"/>
      <c r="Q76" s="4"/>
      <c r="R76" s="4"/>
      <c r="S76" s="4"/>
      <c r="T76" s="4"/>
      <c r="U76" s="4"/>
      <c r="V76" s="4"/>
      <c r="W76" s="4"/>
      <c r="X76" s="4"/>
      <c r="Y76" s="4"/>
      <c r="Z76" s="4"/>
    </row>
    <row r="77" spans="1:26">
      <c r="A77" s="85" t="s">
        <v>196</v>
      </c>
      <c r="B77" s="88"/>
      <c r="C77" s="4"/>
      <c r="D77" s="4"/>
      <c r="E77" s="4"/>
      <c r="F77" s="4"/>
      <c r="G77" s="4"/>
      <c r="H77" s="4"/>
      <c r="I77" s="4"/>
      <c r="J77" s="4"/>
      <c r="K77" s="4"/>
      <c r="L77" s="4"/>
      <c r="M77" s="4"/>
      <c r="N77" s="4"/>
      <c r="O77" s="4"/>
      <c r="P77" s="4"/>
      <c r="Q77" s="4"/>
      <c r="R77" s="4"/>
      <c r="S77" s="4"/>
      <c r="T77" s="4"/>
      <c r="U77" s="4"/>
      <c r="V77" s="4"/>
      <c r="W77" s="4"/>
      <c r="X77" s="4"/>
      <c r="Y77" s="4"/>
      <c r="Z77" s="4"/>
    </row>
    <row r="78" spans="1:26">
      <c r="A78" s="87" t="s">
        <v>79</v>
      </c>
      <c r="B78" s="88">
        <f>Assumptions!B87</f>
        <v>0</v>
      </c>
      <c r="C78" s="4"/>
      <c r="D78" s="4"/>
      <c r="E78" s="4"/>
      <c r="F78" s="4"/>
      <c r="G78" s="4"/>
      <c r="H78" s="4"/>
      <c r="I78" s="4"/>
      <c r="J78" s="4"/>
      <c r="K78" s="4"/>
      <c r="L78" s="4"/>
      <c r="M78" s="4"/>
      <c r="N78" s="4"/>
      <c r="O78" s="4"/>
      <c r="P78" s="4"/>
      <c r="Q78" s="4"/>
      <c r="R78" s="4"/>
      <c r="S78" s="4"/>
      <c r="T78" s="4"/>
      <c r="U78" s="4"/>
      <c r="V78" s="4"/>
      <c r="W78" s="4"/>
      <c r="X78" s="4"/>
      <c r="Y78" s="4"/>
      <c r="Z78" s="4"/>
    </row>
    <row r="79" spans="1:26">
      <c r="A79" s="87" t="s">
        <v>82</v>
      </c>
      <c r="B79" s="89">
        <f>Assumptions!B88</f>
        <v>0</v>
      </c>
      <c r="C79" s="4"/>
      <c r="D79" s="4"/>
      <c r="E79" s="4"/>
      <c r="F79" s="4"/>
      <c r="G79" s="4"/>
      <c r="H79" s="4"/>
      <c r="I79" s="4"/>
      <c r="J79" s="4"/>
      <c r="K79" s="4"/>
      <c r="L79" s="4"/>
      <c r="M79" s="4"/>
      <c r="N79" s="4"/>
      <c r="O79" s="4"/>
      <c r="P79" s="4"/>
      <c r="Q79" s="4"/>
      <c r="R79" s="4"/>
      <c r="S79" s="4"/>
      <c r="T79" s="4"/>
      <c r="U79" s="4"/>
      <c r="V79" s="4"/>
      <c r="W79" s="4"/>
      <c r="X79" s="4"/>
      <c r="Y79" s="4"/>
      <c r="Z79" s="4"/>
    </row>
    <row r="80" spans="1:26">
      <c r="A80" s="85" t="s">
        <v>197</v>
      </c>
      <c r="B80" s="90">
        <f>SUM(B78:B79)</f>
        <v>0</v>
      </c>
      <c r="C80" s="4"/>
      <c r="D80" s="4"/>
      <c r="E80" s="4"/>
      <c r="F80" s="4"/>
      <c r="G80" s="4"/>
      <c r="H80" s="4"/>
      <c r="I80" s="4"/>
      <c r="J80" s="4"/>
      <c r="K80" s="4"/>
      <c r="L80" s="4"/>
      <c r="M80" s="4"/>
      <c r="N80" s="4"/>
      <c r="O80" s="4"/>
      <c r="P80" s="4"/>
      <c r="Q80" s="4"/>
      <c r="R80" s="4"/>
      <c r="S80" s="4"/>
      <c r="T80" s="4"/>
      <c r="U80" s="4"/>
      <c r="V80" s="4"/>
      <c r="W80" s="4"/>
      <c r="X80" s="4"/>
      <c r="Y80" s="4"/>
      <c r="Z80" s="4"/>
    </row>
    <row r="81" spans="1:26">
      <c r="A81" s="85"/>
      <c r="B81" s="90"/>
      <c r="C81" s="4"/>
      <c r="D81" s="4"/>
      <c r="E81" s="4"/>
      <c r="F81" s="4"/>
      <c r="G81" s="4"/>
      <c r="H81" s="4"/>
      <c r="I81" s="4"/>
      <c r="J81" s="4"/>
      <c r="K81" s="4"/>
      <c r="L81" s="4"/>
      <c r="M81" s="4"/>
      <c r="N81" s="4"/>
      <c r="O81" s="4"/>
      <c r="P81" s="4"/>
      <c r="Q81" s="4"/>
      <c r="R81" s="4"/>
      <c r="S81" s="4"/>
      <c r="T81" s="4"/>
      <c r="U81" s="4"/>
      <c r="V81" s="4"/>
      <c r="W81" s="4"/>
      <c r="X81" s="4"/>
      <c r="Y81" s="4"/>
      <c r="Z81" s="4"/>
    </row>
    <row r="82" spans="1:26">
      <c r="A82" s="85" t="s">
        <v>198</v>
      </c>
      <c r="B82" s="88"/>
      <c r="C82" s="4"/>
      <c r="D82" s="4"/>
      <c r="E82" s="4"/>
      <c r="F82" s="4"/>
      <c r="G82" s="4"/>
      <c r="H82" s="4"/>
      <c r="I82" s="4"/>
      <c r="J82" s="4"/>
      <c r="K82" s="4"/>
      <c r="L82" s="4"/>
      <c r="M82" s="4"/>
      <c r="N82" s="4"/>
      <c r="O82" s="4"/>
      <c r="P82" s="4"/>
      <c r="Q82" s="4"/>
      <c r="R82" s="4"/>
      <c r="S82" s="4"/>
      <c r="T82" s="4"/>
      <c r="U82" s="4"/>
      <c r="V82" s="4"/>
      <c r="W82" s="4"/>
      <c r="X82" s="4"/>
      <c r="Y82" s="4"/>
      <c r="Z82" s="4"/>
    </row>
    <row r="83" spans="1:26">
      <c r="A83" s="87" t="s">
        <v>84</v>
      </c>
      <c r="B83" s="88">
        <f>Assumptions!B91</f>
        <v>0</v>
      </c>
      <c r="C83" s="4"/>
      <c r="D83" s="4"/>
      <c r="E83" s="4"/>
      <c r="F83" s="4"/>
      <c r="G83" s="4"/>
      <c r="H83" s="4"/>
      <c r="I83" s="4"/>
      <c r="J83" s="4"/>
      <c r="K83" s="4"/>
      <c r="L83" s="4"/>
      <c r="M83" s="4"/>
      <c r="N83" s="4"/>
      <c r="O83" s="4"/>
      <c r="P83" s="4"/>
      <c r="Q83" s="4"/>
      <c r="R83" s="4"/>
      <c r="S83" s="4"/>
      <c r="T83" s="4"/>
      <c r="U83" s="4"/>
      <c r="V83" s="4"/>
      <c r="W83" s="4"/>
      <c r="X83" s="4"/>
      <c r="Y83" s="4"/>
      <c r="Z83" s="4"/>
    </row>
    <row r="84" spans="1:26">
      <c r="A84" s="87" t="s">
        <v>86</v>
      </c>
      <c r="B84" s="88">
        <f>Assumptions!B92</f>
        <v>0</v>
      </c>
      <c r="C84" s="4"/>
      <c r="D84" s="4"/>
      <c r="E84" s="4"/>
      <c r="F84" s="4"/>
      <c r="G84" s="4"/>
      <c r="H84" s="4"/>
      <c r="I84" s="4"/>
      <c r="J84" s="4"/>
      <c r="K84" s="4"/>
      <c r="L84" s="4"/>
      <c r="M84" s="4"/>
      <c r="N84" s="4"/>
      <c r="O84" s="4"/>
      <c r="P84" s="4"/>
      <c r="Q84" s="4"/>
      <c r="R84" s="4"/>
      <c r="S84" s="4"/>
      <c r="T84" s="4"/>
      <c r="U84" s="4"/>
      <c r="V84" s="4"/>
      <c r="W84" s="4"/>
      <c r="X84" s="4"/>
      <c r="Y84" s="4"/>
      <c r="Z84" s="4"/>
    </row>
    <row r="85" spans="1:26">
      <c r="A85" s="87" t="s">
        <v>90</v>
      </c>
      <c r="B85" s="89">
        <f>Assumptions!B93</f>
        <v>0</v>
      </c>
      <c r="C85" s="4"/>
      <c r="D85" s="4"/>
      <c r="E85" s="4"/>
      <c r="F85" s="4"/>
      <c r="G85" s="4"/>
      <c r="H85" s="4"/>
      <c r="I85" s="4"/>
      <c r="J85" s="4"/>
      <c r="K85" s="4"/>
      <c r="L85" s="4"/>
      <c r="M85" s="4"/>
      <c r="N85" s="4"/>
      <c r="O85" s="4"/>
      <c r="P85" s="4"/>
      <c r="Q85" s="4"/>
      <c r="R85" s="4"/>
      <c r="S85" s="4"/>
      <c r="T85" s="4"/>
      <c r="U85" s="4"/>
      <c r="V85" s="4"/>
      <c r="W85" s="4"/>
      <c r="X85" s="4"/>
      <c r="Y85" s="4"/>
      <c r="Z85" s="4"/>
    </row>
    <row r="86" spans="1:26">
      <c r="A86" s="85" t="s">
        <v>199</v>
      </c>
      <c r="B86" s="90">
        <f>SUM(B83:B85)</f>
        <v>0</v>
      </c>
      <c r="C86" s="4"/>
      <c r="D86" s="4"/>
      <c r="E86" s="4"/>
      <c r="F86" s="4"/>
      <c r="G86" s="4"/>
      <c r="H86" s="4"/>
      <c r="I86" s="4"/>
      <c r="J86" s="4"/>
      <c r="K86" s="4"/>
      <c r="L86" s="4"/>
      <c r="M86" s="4"/>
      <c r="N86" s="4"/>
      <c r="O86" s="4"/>
      <c r="P86" s="4"/>
      <c r="Q86" s="4"/>
      <c r="R86" s="4"/>
      <c r="S86" s="4"/>
      <c r="T86" s="4"/>
      <c r="U86" s="4"/>
      <c r="V86" s="4"/>
      <c r="W86" s="4"/>
      <c r="X86" s="4"/>
      <c r="Y86" s="4"/>
      <c r="Z86" s="4"/>
    </row>
    <row r="87" spans="1:26">
      <c r="A87" s="85"/>
      <c r="B87" s="90"/>
      <c r="C87" s="4"/>
      <c r="D87" s="4"/>
      <c r="E87" s="4"/>
      <c r="F87" s="4"/>
      <c r="G87" s="4"/>
      <c r="H87" s="4"/>
      <c r="I87" s="4"/>
      <c r="J87" s="4"/>
      <c r="K87" s="4"/>
      <c r="L87" s="4"/>
      <c r="M87" s="4"/>
      <c r="N87" s="4"/>
      <c r="O87" s="4"/>
      <c r="P87" s="4"/>
      <c r="Q87" s="4"/>
      <c r="R87" s="4"/>
      <c r="S87" s="4"/>
      <c r="T87" s="4"/>
      <c r="U87" s="4"/>
      <c r="V87" s="4"/>
      <c r="W87" s="4"/>
      <c r="X87" s="4"/>
      <c r="Y87" s="4"/>
      <c r="Z87" s="4"/>
    </row>
    <row r="88" spans="1:26">
      <c r="A88" s="85" t="s">
        <v>200</v>
      </c>
      <c r="B88" s="88"/>
      <c r="C88" s="4"/>
      <c r="D88" s="4"/>
      <c r="E88" s="4"/>
      <c r="F88" s="4"/>
      <c r="G88" s="4"/>
      <c r="H88" s="4"/>
      <c r="I88" s="4"/>
      <c r="J88" s="4"/>
      <c r="K88" s="4"/>
      <c r="L88" s="4"/>
      <c r="M88" s="4"/>
      <c r="N88" s="4"/>
      <c r="O88" s="4"/>
      <c r="P88" s="4"/>
      <c r="Q88" s="4"/>
      <c r="R88" s="4"/>
      <c r="S88" s="4"/>
      <c r="T88" s="4"/>
      <c r="U88" s="4"/>
      <c r="V88" s="4"/>
      <c r="W88" s="4"/>
      <c r="X88" s="4"/>
      <c r="Y88" s="4"/>
      <c r="Z88" s="4"/>
    </row>
    <row r="89" spans="1:26">
      <c r="A89" s="87" t="s">
        <v>93</v>
      </c>
      <c r="B89" s="88">
        <f>Assumptions!B96</f>
        <v>0</v>
      </c>
      <c r="C89" s="4"/>
      <c r="D89" s="4"/>
      <c r="E89" s="4"/>
      <c r="F89" s="4"/>
      <c r="G89" s="4"/>
      <c r="H89" s="4"/>
      <c r="I89" s="4"/>
      <c r="J89" s="4"/>
      <c r="K89" s="4"/>
      <c r="L89" s="4"/>
      <c r="M89" s="4"/>
      <c r="N89" s="4"/>
      <c r="O89" s="4"/>
      <c r="P89" s="4"/>
      <c r="Q89" s="4"/>
      <c r="R89" s="4"/>
      <c r="S89" s="4"/>
      <c r="T89" s="4"/>
      <c r="U89" s="4"/>
      <c r="V89" s="4"/>
      <c r="W89" s="4"/>
      <c r="X89" s="4"/>
      <c r="Y89" s="4"/>
      <c r="Z89" s="4"/>
    </row>
    <row r="90" spans="1:26">
      <c r="A90" s="87" t="s">
        <v>95</v>
      </c>
      <c r="B90" s="88">
        <f>Assumptions!B97</f>
        <v>0</v>
      </c>
      <c r="C90" s="4"/>
      <c r="D90" s="4"/>
      <c r="E90" s="4"/>
      <c r="F90" s="4"/>
      <c r="G90" s="4"/>
      <c r="H90" s="4"/>
      <c r="I90" s="4"/>
      <c r="J90" s="4"/>
      <c r="K90" s="4"/>
      <c r="L90" s="4"/>
      <c r="M90" s="4"/>
      <c r="N90" s="4"/>
      <c r="O90" s="4"/>
      <c r="P90" s="4"/>
      <c r="Q90" s="4"/>
      <c r="R90" s="4"/>
      <c r="S90" s="4"/>
      <c r="T90" s="4"/>
      <c r="U90" s="4"/>
      <c r="V90" s="4"/>
      <c r="W90" s="4"/>
      <c r="X90" s="4"/>
      <c r="Y90" s="4"/>
      <c r="Z90" s="4"/>
    </row>
    <row r="91" spans="1:26">
      <c r="A91" s="87" t="s">
        <v>201</v>
      </c>
      <c r="B91" s="89">
        <f>Assumptions!B98</f>
        <v>0</v>
      </c>
      <c r="C91" s="4"/>
      <c r="D91" s="4"/>
      <c r="E91" s="4"/>
      <c r="F91" s="4"/>
      <c r="G91" s="4"/>
      <c r="H91" s="4"/>
      <c r="I91" s="4"/>
      <c r="J91" s="4"/>
      <c r="K91" s="4"/>
      <c r="L91" s="4"/>
      <c r="M91" s="4"/>
      <c r="N91" s="4"/>
      <c r="O91" s="4"/>
      <c r="P91" s="4"/>
      <c r="Q91" s="4"/>
      <c r="R91" s="4"/>
      <c r="S91" s="4"/>
      <c r="T91" s="4"/>
      <c r="U91" s="4"/>
      <c r="V91" s="4"/>
      <c r="W91" s="4"/>
      <c r="X91" s="4"/>
      <c r="Y91" s="4"/>
      <c r="Z91" s="4"/>
    </row>
    <row r="92" spans="1:26">
      <c r="A92" s="85" t="s">
        <v>202</v>
      </c>
      <c r="B92" s="90">
        <f>SUM(B89:B91)</f>
        <v>0</v>
      </c>
      <c r="C92" s="4"/>
      <c r="D92" s="4"/>
      <c r="E92" s="4"/>
      <c r="F92" s="4"/>
      <c r="G92" s="4"/>
      <c r="H92" s="4"/>
      <c r="I92" s="4"/>
      <c r="J92" s="4"/>
      <c r="K92" s="4"/>
      <c r="L92" s="4"/>
      <c r="M92" s="4"/>
      <c r="N92" s="4"/>
      <c r="O92" s="4"/>
      <c r="P92" s="4"/>
      <c r="Q92" s="4"/>
      <c r="R92" s="4"/>
      <c r="S92" s="4"/>
      <c r="T92" s="4"/>
      <c r="U92" s="4"/>
      <c r="V92" s="4"/>
      <c r="W92" s="4"/>
      <c r="X92" s="4"/>
      <c r="Y92" s="4"/>
      <c r="Z92" s="4"/>
    </row>
    <row r="93" spans="1:26">
      <c r="A93" s="85"/>
      <c r="B93" s="90"/>
      <c r="C93" s="4"/>
      <c r="D93" s="4"/>
      <c r="E93" s="4"/>
      <c r="F93" s="4"/>
      <c r="G93" s="4"/>
      <c r="H93" s="4"/>
      <c r="I93" s="4"/>
      <c r="J93" s="4"/>
      <c r="K93" s="4"/>
      <c r="L93" s="4"/>
      <c r="M93" s="4"/>
      <c r="N93" s="4"/>
      <c r="O93" s="4"/>
      <c r="P93" s="4"/>
      <c r="Q93" s="4"/>
      <c r="R93" s="4"/>
      <c r="S93" s="4"/>
      <c r="T93" s="4"/>
      <c r="U93" s="4"/>
      <c r="V93" s="4"/>
      <c r="W93" s="4"/>
      <c r="X93" s="4"/>
      <c r="Y93" s="4"/>
      <c r="Z93" s="4"/>
    </row>
    <row r="94" spans="1:26">
      <c r="A94" s="85" t="s">
        <v>203</v>
      </c>
      <c r="B94" s="88"/>
      <c r="C94" s="4"/>
      <c r="D94" s="4"/>
      <c r="E94" s="4"/>
      <c r="F94" s="4"/>
      <c r="G94" s="4"/>
      <c r="H94" s="4"/>
      <c r="I94" s="4"/>
      <c r="J94" s="4"/>
      <c r="K94" s="4"/>
      <c r="L94" s="4"/>
      <c r="M94" s="4"/>
      <c r="N94" s="4"/>
      <c r="O94" s="4"/>
      <c r="P94" s="4"/>
      <c r="Q94" s="4"/>
      <c r="R94" s="4"/>
      <c r="S94" s="4"/>
      <c r="T94" s="4"/>
      <c r="U94" s="4"/>
      <c r="V94" s="4"/>
      <c r="W94" s="4"/>
      <c r="X94" s="4"/>
      <c r="Y94" s="4"/>
      <c r="Z94" s="4"/>
    </row>
    <row r="95" spans="1:26">
      <c r="A95" s="87" t="s">
        <v>98</v>
      </c>
      <c r="B95" s="88">
        <f>Assumptions!B101</f>
        <v>0</v>
      </c>
      <c r="C95" s="4"/>
      <c r="D95" s="4"/>
      <c r="E95" s="4"/>
      <c r="F95" s="4"/>
      <c r="G95" s="4"/>
      <c r="H95" s="4"/>
      <c r="I95" s="4"/>
      <c r="J95" s="4"/>
      <c r="K95" s="4"/>
      <c r="L95" s="4"/>
      <c r="M95" s="4"/>
      <c r="N95" s="4"/>
      <c r="O95" s="4"/>
      <c r="P95" s="4"/>
      <c r="Q95" s="4"/>
      <c r="R95" s="4"/>
      <c r="S95" s="4"/>
      <c r="T95" s="4"/>
      <c r="U95" s="4"/>
      <c r="V95" s="4"/>
      <c r="W95" s="4"/>
      <c r="X95" s="4"/>
      <c r="Y95" s="4"/>
      <c r="Z95" s="4"/>
    </row>
    <row r="96" spans="1:26">
      <c r="A96" s="87" t="s">
        <v>99</v>
      </c>
      <c r="B96" s="88">
        <f>Assumptions!B102</f>
        <v>0</v>
      </c>
      <c r="C96" s="4"/>
      <c r="D96" s="4"/>
      <c r="E96" s="4"/>
      <c r="F96" s="4"/>
      <c r="G96" s="4"/>
      <c r="H96" s="4"/>
      <c r="I96" s="4"/>
      <c r="J96" s="4"/>
      <c r="K96" s="4"/>
      <c r="L96" s="4"/>
      <c r="M96" s="4"/>
      <c r="N96" s="4"/>
      <c r="O96" s="4"/>
      <c r="P96" s="4"/>
      <c r="Q96" s="4"/>
      <c r="R96" s="4"/>
      <c r="S96" s="4"/>
      <c r="T96" s="4"/>
      <c r="U96" s="4"/>
      <c r="V96" s="4"/>
      <c r="W96" s="4"/>
      <c r="X96" s="4"/>
      <c r="Y96" s="4"/>
      <c r="Z96" s="4"/>
    </row>
    <row r="97" spans="1:26">
      <c r="A97" s="87" t="s">
        <v>100</v>
      </c>
      <c r="B97" s="89">
        <f>Assumptions!B103</f>
        <v>0</v>
      </c>
      <c r="C97" s="4"/>
      <c r="D97" s="4"/>
      <c r="E97" s="4"/>
      <c r="F97" s="4"/>
      <c r="G97" s="4"/>
      <c r="H97" s="4"/>
      <c r="I97" s="4"/>
      <c r="J97" s="4"/>
      <c r="K97" s="4"/>
      <c r="L97" s="4"/>
      <c r="M97" s="4"/>
      <c r="N97" s="4"/>
      <c r="O97" s="4"/>
      <c r="P97" s="4"/>
      <c r="Q97" s="4"/>
      <c r="R97" s="4"/>
      <c r="S97" s="4"/>
      <c r="T97" s="4"/>
      <c r="U97" s="4"/>
      <c r="V97" s="4"/>
      <c r="W97" s="4"/>
      <c r="X97" s="4"/>
      <c r="Y97" s="4"/>
      <c r="Z97" s="4"/>
    </row>
    <row r="98" spans="1:26">
      <c r="A98" s="85" t="s">
        <v>204</v>
      </c>
      <c r="B98" s="90">
        <f>SUM(B95:B97)</f>
        <v>0</v>
      </c>
      <c r="C98" s="4"/>
      <c r="D98" s="4"/>
      <c r="E98" s="4"/>
      <c r="F98" s="4"/>
      <c r="G98" s="4"/>
      <c r="H98" s="4"/>
      <c r="I98" s="4"/>
      <c r="J98" s="4"/>
      <c r="K98" s="4"/>
      <c r="L98" s="4"/>
      <c r="M98" s="4"/>
      <c r="N98" s="4"/>
      <c r="O98" s="4"/>
      <c r="P98" s="4"/>
      <c r="Q98" s="4"/>
      <c r="R98" s="4"/>
      <c r="S98" s="4"/>
      <c r="T98" s="4"/>
      <c r="U98" s="4"/>
      <c r="V98" s="4"/>
      <c r="W98" s="4"/>
      <c r="X98" s="4"/>
      <c r="Y98" s="4"/>
      <c r="Z98" s="4"/>
    </row>
    <row r="99" spans="1:26">
      <c r="A99" s="85"/>
      <c r="B99" s="90"/>
      <c r="C99" s="4"/>
      <c r="D99" s="4"/>
      <c r="E99" s="4"/>
      <c r="F99" s="4"/>
      <c r="G99" s="4"/>
      <c r="H99" s="4"/>
      <c r="I99" s="4"/>
      <c r="J99" s="4"/>
      <c r="K99" s="4"/>
      <c r="L99" s="4"/>
      <c r="M99" s="4"/>
      <c r="N99" s="4"/>
      <c r="O99" s="4"/>
      <c r="P99" s="4"/>
      <c r="Q99" s="4"/>
      <c r="R99" s="4"/>
      <c r="S99" s="4"/>
      <c r="T99" s="4"/>
      <c r="U99" s="4"/>
      <c r="V99" s="4"/>
      <c r="W99" s="4"/>
      <c r="X99" s="4"/>
      <c r="Y99" s="4"/>
      <c r="Z99" s="4"/>
    </row>
    <row r="100" spans="1:26">
      <c r="A100" s="85" t="s">
        <v>205</v>
      </c>
      <c r="B100" s="88"/>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87" t="s">
        <v>206</v>
      </c>
      <c r="B101" s="88">
        <f>Assumptions!B106</f>
        <v>0</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87" t="s">
        <v>107</v>
      </c>
      <c r="B102" s="88">
        <f>Assumptions!B107</f>
        <v>0</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87" t="s">
        <v>103</v>
      </c>
      <c r="B103" s="88">
        <f>Assumptions!B108</f>
        <v>0</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87" t="s">
        <v>109</v>
      </c>
      <c r="B104" s="88">
        <f>Assumptions!B109</f>
        <v>0</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87" t="s">
        <v>207</v>
      </c>
      <c r="B105" s="89">
        <f>Assumptions!B110</f>
        <v>0</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85" t="s">
        <v>208</v>
      </c>
      <c r="B106" s="90">
        <f>SUM(B101:B105)</f>
        <v>0</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85"/>
      <c r="B107" s="90"/>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85" t="s">
        <v>209</v>
      </c>
      <c r="B108" s="88"/>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87" t="s">
        <v>210</v>
      </c>
      <c r="B109" s="88">
        <f>Assumptions!B113</f>
        <v>0</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87" t="s">
        <v>113</v>
      </c>
      <c r="B110" s="88">
        <f>Assumptions!B114</f>
        <v>0</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87" t="s">
        <v>115</v>
      </c>
      <c r="B111" s="89">
        <f>Assumptions!B115</f>
        <v>0</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85" t="s">
        <v>211</v>
      </c>
      <c r="B112" s="88">
        <f>SUM(B109:B111)</f>
        <v>0</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87"/>
      <c r="B113" s="88"/>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85" t="s">
        <v>212</v>
      </c>
      <c r="B114" s="88"/>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5">
      <c r="A115" s="99" t="s">
        <v>213</v>
      </c>
      <c r="B115" s="88">
        <f>Assumptions!B118</f>
        <v>0</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68" t="s">
        <v>119</v>
      </c>
      <c r="B116" s="88">
        <f>Assumptions!B119</f>
        <v>0</v>
      </c>
      <c r="C116" s="4"/>
      <c r="D116" s="4"/>
      <c r="E116" s="4"/>
      <c r="F116" s="67"/>
      <c r="G116" s="4"/>
      <c r="H116" s="4"/>
      <c r="I116" s="4"/>
      <c r="J116" s="4"/>
      <c r="K116" s="4"/>
      <c r="L116" s="4"/>
      <c r="M116" s="4"/>
      <c r="N116" s="4"/>
      <c r="O116" s="4"/>
      <c r="P116" s="4"/>
      <c r="Q116" s="4"/>
      <c r="R116" s="4"/>
      <c r="S116" s="4"/>
      <c r="T116" s="4"/>
      <c r="U116" s="4"/>
      <c r="V116" s="4"/>
      <c r="W116" s="4"/>
      <c r="X116" s="4"/>
      <c r="Y116" s="4"/>
      <c r="Z116" s="4"/>
    </row>
    <row r="117" spans="1:26">
      <c r="A117" s="68" t="s">
        <v>120</v>
      </c>
      <c r="B117" s="88">
        <f>Assumptions!B120</f>
        <v>0</v>
      </c>
      <c r="C117" s="4"/>
      <c r="D117" s="4"/>
      <c r="E117" s="4"/>
      <c r="F117" s="67"/>
      <c r="G117" s="4"/>
      <c r="H117" s="4"/>
      <c r="I117" s="4"/>
      <c r="J117" s="4"/>
      <c r="K117" s="4"/>
      <c r="L117" s="4"/>
      <c r="M117" s="4"/>
      <c r="N117" s="4"/>
      <c r="O117" s="4"/>
      <c r="P117" s="4"/>
      <c r="Q117" s="4"/>
      <c r="R117" s="4"/>
      <c r="S117" s="4"/>
      <c r="T117" s="4"/>
      <c r="U117" s="4"/>
      <c r="V117" s="4"/>
      <c r="W117" s="4"/>
      <c r="X117" s="4"/>
      <c r="Y117" s="4"/>
      <c r="Z117" s="4"/>
    </row>
    <row r="118" spans="1:26">
      <c r="A118" s="65" t="s">
        <v>122</v>
      </c>
      <c r="B118" s="88">
        <f>Assumptions!B121</f>
        <v>0</v>
      </c>
      <c r="C118" s="4"/>
      <c r="D118" s="4"/>
      <c r="E118" s="4"/>
      <c r="F118" s="65"/>
      <c r="G118" s="4"/>
      <c r="H118" s="4"/>
      <c r="I118" s="4"/>
      <c r="J118" s="4"/>
      <c r="K118" s="4"/>
      <c r="L118" s="4"/>
      <c r="M118" s="4"/>
      <c r="N118" s="4"/>
      <c r="O118" s="4"/>
      <c r="P118" s="4"/>
      <c r="Q118" s="4"/>
      <c r="R118" s="4"/>
      <c r="S118" s="4"/>
      <c r="T118" s="4"/>
      <c r="U118" s="4"/>
      <c r="V118" s="4"/>
      <c r="W118" s="4"/>
      <c r="X118" s="4"/>
      <c r="Y118" s="4"/>
      <c r="Z118" s="4"/>
    </row>
    <row r="119" spans="1:26">
      <c r="A119" s="65" t="s">
        <v>123</v>
      </c>
      <c r="B119" s="88">
        <f>Assumptions!B122</f>
        <v>0</v>
      </c>
      <c r="C119" s="4"/>
      <c r="D119" s="4"/>
      <c r="E119" s="4"/>
      <c r="F119" s="65"/>
      <c r="G119" s="4"/>
      <c r="H119" s="4"/>
      <c r="I119" s="4"/>
      <c r="J119" s="4"/>
      <c r="K119" s="4"/>
      <c r="L119" s="4"/>
      <c r="M119" s="4"/>
      <c r="N119" s="4"/>
      <c r="O119" s="4"/>
      <c r="P119" s="4"/>
      <c r="Q119" s="4"/>
      <c r="R119" s="4"/>
      <c r="S119" s="4"/>
      <c r="T119" s="4"/>
      <c r="U119" s="4"/>
      <c r="V119" s="4"/>
      <c r="W119" s="4"/>
      <c r="X119" s="4"/>
      <c r="Y119" s="4"/>
      <c r="Z119" s="4"/>
    </row>
    <row r="120" spans="1:26">
      <c r="A120" s="65" t="s">
        <v>124</v>
      </c>
      <c r="B120" s="88">
        <f>Assumptions!B123</f>
        <v>0</v>
      </c>
      <c r="C120" s="4"/>
      <c r="D120" s="4"/>
      <c r="E120" s="4"/>
      <c r="F120" s="65"/>
      <c r="G120" s="4"/>
      <c r="H120" s="4"/>
      <c r="I120" s="4"/>
      <c r="J120" s="4"/>
      <c r="K120" s="4"/>
      <c r="L120" s="4"/>
      <c r="M120" s="4"/>
      <c r="N120" s="4"/>
      <c r="O120" s="4"/>
      <c r="P120" s="4"/>
      <c r="Q120" s="4"/>
      <c r="R120" s="4"/>
      <c r="S120" s="4"/>
      <c r="T120" s="4"/>
      <c r="U120" s="4"/>
      <c r="V120" s="4"/>
      <c r="W120" s="4"/>
      <c r="X120" s="4"/>
      <c r="Y120" s="4"/>
      <c r="Z120" s="4"/>
    </row>
    <row r="121" spans="1:26">
      <c r="A121" s="65" t="s">
        <v>125</v>
      </c>
      <c r="B121" s="88">
        <f>Assumptions!B124</f>
        <v>0</v>
      </c>
      <c r="C121" s="4"/>
      <c r="D121" s="4"/>
      <c r="E121" s="4"/>
      <c r="F121" s="65"/>
      <c r="G121" s="4"/>
      <c r="H121" s="4"/>
      <c r="I121" s="4"/>
      <c r="J121" s="4"/>
      <c r="K121" s="4"/>
      <c r="L121" s="4"/>
      <c r="M121" s="4"/>
      <c r="N121" s="4"/>
      <c r="O121" s="4"/>
      <c r="P121" s="4"/>
      <c r="Q121" s="4"/>
      <c r="R121" s="4"/>
      <c r="S121" s="4"/>
      <c r="T121" s="4"/>
      <c r="U121" s="4"/>
      <c r="V121" s="4"/>
      <c r="W121" s="4"/>
      <c r="X121" s="4"/>
      <c r="Y121" s="4"/>
      <c r="Z121" s="4"/>
    </row>
    <row r="122" spans="1:26">
      <c r="A122" s="65" t="s">
        <v>126</v>
      </c>
      <c r="B122" s="88">
        <f>Assumptions!B125</f>
        <v>0</v>
      </c>
      <c r="C122" s="4"/>
      <c r="D122" s="4"/>
      <c r="E122" s="4"/>
      <c r="F122" s="65"/>
      <c r="G122" s="4"/>
      <c r="H122" s="4"/>
      <c r="I122" s="4"/>
      <c r="J122" s="4"/>
      <c r="K122" s="4"/>
      <c r="L122" s="4"/>
      <c r="M122" s="4"/>
      <c r="N122" s="4"/>
      <c r="O122" s="4"/>
      <c r="P122" s="4"/>
      <c r="Q122" s="4"/>
      <c r="R122" s="4"/>
      <c r="S122" s="4"/>
      <c r="T122" s="4"/>
      <c r="U122" s="4"/>
      <c r="V122" s="4"/>
      <c r="W122" s="4"/>
      <c r="X122" s="4"/>
      <c r="Y122" s="4"/>
      <c r="Z122" s="4"/>
    </row>
    <row r="123" spans="1:26">
      <c r="A123" s="65" t="s">
        <v>127</v>
      </c>
      <c r="B123" s="88">
        <f>Assumptions!B126</f>
        <v>0</v>
      </c>
      <c r="C123" s="4"/>
      <c r="D123" s="4"/>
      <c r="E123" s="4"/>
      <c r="F123" s="65"/>
      <c r="G123" s="4"/>
      <c r="H123" s="4"/>
      <c r="I123" s="4"/>
      <c r="J123" s="4"/>
      <c r="K123" s="4"/>
      <c r="L123" s="4"/>
      <c r="M123" s="4"/>
      <c r="N123" s="4"/>
      <c r="O123" s="4"/>
      <c r="P123" s="4"/>
      <c r="Q123" s="4"/>
      <c r="R123" s="4"/>
      <c r="S123" s="4"/>
      <c r="T123" s="4"/>
      <c r="U123" s="4"/>
      <c r="V123" s="4"/>
      <c r="W123" s="4"/>
      <c r="X123" s="4"/>
      <c r="Y123" s="4"/>
      <c r="Z123" s="4"/>
    </row>
    <row r="124" spans="1:26">
      <c r="A124" s="65" t="s">
        <v>128</v>
      </c>
      <c r="B124" s="88">
        <f>Assumptions!B127</f>
        <v>0</v>
      </c>
      <c r="C124" s="4"/>
      <c r="D124" s="4"/>
      <c r="E124" s="4"/>
      <c r="F124" s="65"/>
      <c r="G124" s="4"/>
      <c r="H124" s="4"/>
      <c r="I124" s="4"/>
      <c r="J124" s="4"/>
      <c r="K124" s="4"/>
      <c r="L124" s="4"/>
      <c r="M124" s="4"/>
      <c r="N124" s="4"/>
      <c r="O124" s="4"/>
      <c r="P124" s="4"/>
      <c r="Q124" s="4"/>
      <c r="R124" s="4"/>
      <c r="S124" s="4"/>
      <c r="T124" s="4"/>
      <c r="U124" s="4"/>
      <c r="V124" s="4"/>
      <c r="W124" s="4"/>
      <c r="X124" s="4"/>
      <c r="Y124" s="4"/>
      <c r="Z124" s="4"/>
    </row>
    <row r="125" spans="1:26">
      <c r="A125" s="65" t="s">
        <v>129</v>
      </c>
      <c r="B125" s="88">
        <f>Assumptions!B128</f>
        <v>0</v>
      </c>
      <c r="C125" s="4"/>
      <c r="D125" s="4"/>
      <c r="E125" s="4"/>
      <c r="F125" s="65"/>
      <c r="G125" s="4"/>
      <c r="H125" s="4"/>
      <c r="I125" s="4"/>
      <c r="J125" s="4"/>
      <c r="K125" s="4"/>
      <c r="L125" s="4"/>
      <c r="M125" s="4"/>
      <c r="N125" s="4"/>
      <c r="O125" s="4"/>
      <c r="P125" s="4"/>
      <c r="Q125" s="4"/>
      <c r="R125" s="4"/>
      <c r="S125" s="4"/>
      <c r="T125" s="4"/>
      <c r="U125" s="4"/>
      <c r="V125" s="4"/>
      <c r="W125" s="4"/>
      <c r="X125" s="4"/>
      <c r="Y125" s="4"/>
      <c r="Z125" s="4"/>
    </row>
    <row r="126" spans="1:26">
      <c r="A126" s="65" t="s">
        <v>131</v>
      </c>
      <c r="B126" s="88">
        <f>Assumptions!B129</f>
        <v>0</v>
      </c>
      <c r="C126" s="4"/>
      <c r="D126" s="4"/>
      <c r="E126" s="4"/>
      <c r="F126" s="65"/>
      <c r="G126" s="4"/>
      <c r="H126" s="4"/>
      <c r="I126" s="4"/>
      <c r="J126" s="4"/>
      <c r="K126" s="4"/>
      <c r="L126" s="4"/>
      <c r="M126" s="4"/>
      <c r="N126" s="4"/>
      <c r="O126" s="4"/>
      <c r="P126" s="4"/>
      <c r="Q126" s="4"/>
      <c r="R126" s="4"/>
      <c r="S126" s="4"/>
      <c r="T126" s="4"/>
      <c r="U126" s="4"/>
      <c r="V126" s="4"/>
      <c r="W126" s="4"/>
      <c r="X126" s="4"/>
      <c r="Y126" s="4"/>
      <c r="Z126" s="4"/>
    </row>
    <row r="127" spans="1:26">
      <c r="A127" s="65" t="s">
        <v>132</v>
      </c>
      <c r="B127" s="88">
        <f>Assumptions!B130</f>
        <v>0</v>
      </c>
      <c r="C127" s="4"/>
      <c r="D127" s="4"/>
      <c r="E127" s="4"/>
      <c r="F127" s="65"/>
      <c r="G127" s="4"/>
      <c r="H127" s="4"/>
      <c r="I127" s="4"/>
      <c r="J127" s="4"/>
      <c r="K127" s="4"/>
      <c r="L127" s="4"/>
      <c r="M127" s="4"/>
      <c r="N127" s="4"/>
      <c r="O127" s="4"/>
      <c r="P127" s="4"/>
      <c r="Q127" s="4"/>
      <c r="R127" s="4"/>
      <c r="S127" s="4"/>
      <c r="T127" s="4"/>
      <c r="U127" s="4"/>
      <c r="V127" s="4"/>
      <c r="W127" s="4"/>
      <c r="X127" s="4"/>
      <c r="Y127" s="4"/>
      <c r="Z127" s="4"/>
    </row>
    <row r="128" spans="1:26">
      <c r="A128" s="65" t="s">
        <v>133</v>
      </c>
      <c r="B128" s="88">
        <f>Assumptions!B131</f>
        <v>0</v>
      </c>
      <c r="C128" s="4"/>
      <c r="D128" s="4"/>
      <c r="E128" s="4"/>
      <c r="F128" s="65"/>
      <c r="G128" s="4"/>
      <c r="H128" s="4"/>
      <c r="I128" s="4"/>
      <c r="J128" s="4"/>
      <c r="K128" s="4"/>
      <c r="L128" s="4"/>
      <c r="M128" s="4"/>
      <c r="N128" s="4"/>
      <c r="O128" s="4"/>
      <c r="P128" s="4"/>
      <c r="Q128" s="4"/>
      <c r="R128" s="4"/>
      <c r="S128" s="4"/>
      <c r="T128" s="4"/>
      <c r="U128" s="4"/>
      <c r="V128" s="4"/>
      <c r="W128" s="4"/>
      <c r="X128" s="4"/>
      <c r="Y128" s="4"/>
      <c r="Z128" s="4"/>
    </row>
    <row r="129" spans="1:26">
      <c r="A129" s="65" t="s">
        <v>134</v>
      </c>
      <c r="B129" s="89">
        <f>Assumptions!B132</f>
        <v>0</v>
      </c>
      <c r="C129" s="4"/>
      <c r="D129" s="4"/>
      <c r="E129" s="4"/>
      <c r="F129" s="65"/>
      <c r="G129" s="4"/>
      <c r="H129" s="4"/>
      <c r="I129" s="4"/>
      <c r="J129" s="4"/>
      <c r="K129" s="4"/>
      <c r="L129" s="4"/>
      <c r="M129" s="4"/>
      <c r="N129" s="4"/>
      <c r="O129" s="4"/>
      <c r="P129" s="4"/>
      <c r="Q129" s="4"/>
      <c r="R129" s="4"/>
      <c r="S129" s="4"/>
      <c r="T129" s="4"/>
      <c r="U129" s="4"/>
      <c r="V129" s="4"/>
      <c r="W129" s="4"/>
      <c r="X129" s="4"/>
      <c r="Y129" s="4"/>
      <c r="Z129" s="4"/>
    </row>
    <row r="130" spans="1:26">
      <c r="A130" s="85" t="s">
        <v>214</v>
      </c>
      <c r="B130" s="90">
        <f>SUM(B115:B129)</f>
        <v>0</v>
      </c>
      <c r="C130" s="4"/>
      <c r="D130" s="4"/>
      <c r="E130" s="4"/>
      <c r="F130" s="65"/>
      <c r="G130" s="4"/>
      <c r="H130" s="4"/>
      <c r="I130" s="4"/>
      <c r="J130" s="4"/>
      <c r="K130" s="4"/>
      <c r="L130" s="4"/>
      <c r="M130" s="4"/>
      <c r="N130" s="4"/>
      <c r="O130" s="4"/>
      <c r="P130" s="4"/>
      <c r="Q130" s="4"/>
      <c r="R130" s="4"/>
      <c r="S130" s="4"/>
      <c r="T130" s="4"/>
      <c r="U130" s="4"/>
      <c r="V130" s="4"/>
      <c r="W130" s="4"/>
      <c r="X130" s="4"/>
      <c r="Y130" s="4"/>
      <c r="Z130" s="4"/>
    </row>
    <row r="131" spans="1:26">
      <c r="A131" s="85"/>
      <c r="B131" s="90"/>
      <c r="C131" s="4"/>
      <c r="D131" s="4"/>
      <c r="E131" s="4"/>
      <c r="F131" s="65"/>
      <c r="G131" s="4"/>
      <c r="H131" s="4"/>
      <c r="I131" s="4"/>
      <c r="J131" s="4"/>
      <c r="K131" s="4"/>
      <c r="L131" s="4"/>
      <c r="M131" s="4"/>
      <c r="N131" s="4"/>
      <c r="O131" s="4"/>
      <c r="P131" s="4"/>
      <c r="Q131" s="4"/>
      <c r="R131" s="4"/>
      <c r="S131" s="4"/>
      <c r="T131" s="4"/>
      <c r="U131" s="4"/>
      <c r="V131" s="4"/>
      <c r="W131" s="4"/>
      <c r="X131" s="4"/>
      <c r="Y131" s="4"/>
      <c r="Z131" s="4"/>
    </row>
    <row r="132" spans="1:26">
      <c r="A132" s="85" t="s">
        <v>215</v>
      </c>
      <c r="B132" s="88"/>
      <c r="C132" s="4"/>
      <c r="D132" s="4"/>
      <c r="E132" s="4"/>
      <c r="F132" s="65"/>
      <c r="G132" s="4"/>
      <c r="H132" s="4"/>
      <c r="I132" s="4"/>
      <c r="J132" s="4"/>
      <c r="K132" s="4"/>
      <c r="L132" s="4"/>
      <c r="M132" s="4"/>
      <c r="N132" s="4"/>
      <c r="O132" s="4"/>
      <c r="P132" s="4"/>
      <c r="Q132" s="4"/>
      <c r="R132" s="4"/>
      <c r="S132" s="4"/>
      <c r="T132" s="4"/>
      <c r="U132" s="4"/>
      <c r="V132" s="4"/>
      <c r="W132" s="4"/>
      <c r="X132" s="4"/>
      <c r="Y132" s="4"/>
      <c r="Z132" s="4"/>
    </row>
    <row r="133" spans="1:26">
      <c r="A133" s="87" t="s">
        <v>136</v>
      </c>
      <c r="B133" s="88">
        <f>Assumptions!B135</f>
        <v>0</v>
      </c>
      <c r="C133" s="4"/>
      <c r="D133" s="4"/>
      <c r="E133" s="4"/>
      <c r="F133" s="65"/>
      <c r="G133" s="4"/>
      <c r="H133" s="4"/>
      <c r="I133" s="4"/>
      <c r="J133" s="4"/>
      <c r="K133" s="4"/>
      <c r="L133" s="4"/>
      <c r="M133" s="4"/>
      <c r="N133" s="4"/>
      <c r="O133" s="4"/>
      <c r="P133" s="4"/>
      <c r="Q133" s="4"/>
      <c r="R133" s="4"/>
      <c r="S133" s="4"/>
      <c r="T133" s="4"/>
      <c r="U133" s="4"/>
      <c r="V133" s="4"/>
      <c r="W133" s="4"/>
      <c r="X133" s="4"/>
      <c r="Y133" s="4"/>
      <c r="Z133" s="4"/>
    </row>
    <row r="134" spans="1:26">
      <c r="A134" s="87" t="s">
        <v>137</v>
      </c>
      <c r="B134" s="89">
        <f>Assumptions!B136</f>
        <v>0</v>
      </c>
      <c r="C134" s="4"/>
      <c r="D134" s="4"/>
      <c r="E134" s="4"/>
      <c r="F134" s="65"/>
      <c r="G134" s="4"/>
      <c r="H134" s="4"/>
      <c r="I134" s="4"/>
      <c r="J134" s="4"/>
      <c r="K134" s="4"/>
      <c r="L134" s="4"/>
      <c r="M134" s="4"/>
      <c r="N134" s="4"/>
      <c r="O134" s="4"/>
      <c r="P134" s="4"/>
      <c r="Q134" s="4"/>
      <c r="R134" s="4"/>
      <c r="S134" s="4"/>
      <c r="T134" s="4"/>
      <c r="U134" s="4"/>
      <c r="V134" s="4"/>
      <c r="W134" s="4"/>
      <c r="X134" s="4"/>
      <c r="Y134" s="4"/>
      <c r="Z134" s="4"/>
    </row>
    <row r="135" spans="1:26">
      <c r="A135" s="85" t="s">
        <v>216</v>
      </c>
      <c r="B135" s="90">
        <f>SUM(B133:B134)</f>
        <v>0</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85"/>
      <c r="B136" s="90"/>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85" t="s">
        <v>217</v>
      </c>
      <c r="B137" s="8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87" t="s">
        <v>218</v>
      </c>
      <c r="B138" s="88">
        <f>IF(AND(Assumptions!$H139="Total"),Assumptions!B139,IF(AND(Assumptions!$H139="Per Pupil"),Assumptions!B139*Assumptions!B$22,0))</f>
        <v>0</v>
      </c>
      <c r="H138" s="4"/>
      <c r="I138" s="4"/>
      <c r="J138" s="4"/>
      <c r="K138" s="4"/>
      <c r="L138" s="4"/>
      <c r="M138" s="4"/>
      <c r="N138" s="4"/>
      <c r="O138" s="4"/>
      <c r="P138" s="4"/>
      <c r="Q138" s="4"/>
      <c r="R138" s="4"/>
      <c r="S138" s="4"/>
      <c r="T138" s="4"/>
      <c r="U138" s="4"/>
      <c r="V138" s="4"/>
      <c r="W138" s="4"/>
      <c r="X138" s="4"/>
      <c r="Y138" s="4"/>
      <c r="Z138" s="4"/>
    </row>
    <row r="139" spans="1:26">
      <c r="A139" s="87" t="s">
        <v>219</v>
      </c>
      <c r="B139" s="88">
        <f>IF(AND(Assumptions!$H140="Total"),Assumptions!B140,IF(AND(Assumptions!$H140="Per Pupil"),Assumptions!B140*Assumptions!B$22,0))</f>
        <v>0</v>
      </c>
      <c r="H139" s="4"/>
      <c r="I139" s="4"/>
      <c r="J139" s="4"/>
      <c r="K139" s="4"/>
      <c r="L139" s="4"/>
      <c r="M139" s="4"/>
      <c r="N139" s="4"/>
      <c r="O139" s="4"/>
      <c r="P139" s="4"/>
      <c r="Q139" s="4"/>
      <c r="R139" s="4"/>
      <c r="S139" s="4"/>
      <c r="T139" s="4"/>
      <c r="U139" s="4"/>
      <c r="V139" s="4"/>
      <c r="W139" s="4"/>
      <c r="X139" s="4"/>
      <c r="Y139" s="4"/>
      <c r="Z139" s="4"/>
    </row>
    <row r="140" spans="1:26">
      <c r="A140" s="65" t="s">
        <v>220</v>
      </c>
      <c r="B140" s="88">
        <f>IF(AND(Assumptions!$H141="Total"),Assumptions!B141,IF(AND(Assumptions!$H141="Per Pupil"),Assumptions!B141*Assumptions!B$22,0))</f>
        <v>0</v>
      </c>
      <c r="H140" s="4"/>
      <c r="I140" s="4"/>
      <c r="J140" s="4"/>
      <c r="K140" s="4"/>
      <c r="L140" s="4"/>
      <c r="M140" s="4"/>
      <c r="N140" s="4"/>
      <c r="O140" s="4"/>
      <c r="P140" s="4"/>
      <c r="Q140" s="4"/>
      <c r="R140" s="4"/>
      <c r="S140" s="4"/>
      <c r="T140" s="4"/>
      <c r="U140" s="4"/>
      <c r="V140" s="4"/>
      <c r="W140" s="4"/>
      <c r="X140" s="4"/>
      <c r="Y140" s="4"/>
      <c r="Z140" s="4"/>
    </row>
    <row r="141" spans="1:26">
      <c r="A141" s="87" t="s">
        <v>221</v>
      </c>
      <c r="B141" s="88">
        <f>IF(AND(Assumptions!$H142="Total"),Assumptions!B142,IF(AND(Assumptions!$H142="Per Pupil"),Assumptions!B142*Assumptions!B$22,0))</f>
        <v>0</v>
      </c>
      <c r="H141" s="4"/>
      <c r="I141" s="4"/>
      <c r="J141" s="4"/>
      <c r="K141" s="4"/>
      <c r="L141" s="4"/>
      <c r="M141" s="4"/>
      <c r="N141" s="4"/>
      <c r="O141" s="4"/>
      <c r="P141" s="4"/>
      <c r="Q141" s="4"/>
      <c r="R141" s="4"/>
      <c r="S141" s="4"/>
      <c r="T141" s="4"/>
      <c r="U141" s="4"/>
      <c r="V141" s="4"/>
      <c r="W141" s="4"/>
      <c r="X141" s="4"/>
      <c r="Y141" s="4"/>
      <c r="Z141" s="4"/>
    </row>
    <row r="142" spans="1:26">
      <c r="A142" s="87" t="s">
        <v>222</v>
      </c>
      <c r="B142" s="88">
        <f>IF(AND(Assumptions!$H143="Total"),Assumptions!B143,IF(AND(Assumptions!$H143="Per Pupil"),Assumptions!B143*Assumptions!B$22,0))</f>
        <v>0</v>
      </c>
      <c r="H142" s="4"/>
      <c r="I142" s="4"/>
      <c r="J142" s="4"/>
      <c r="K142" s="4"/>
      <c r="L142" s="4"/>
      <c r="M142" s="4"/>
      <c r="N142" s="4"/>
      <c r="O142" s="4"/>
      <c r="P142" s="4"/>
      <c r="Q142" s="4"/>
      <c r="R142" s="4"/>
      <c r="S142" s="4"/>
      <c r="T142" s="4"/>
      <c r="U142" s="4"/>
      <c r="V142" s="4"/>
      <c r="W142" s="4"/>
      <c r="X142" s="4"/>
      <c r="Y142" s="4"/>
      <c r="Z142" s="4"/>
    </row>
    <row r="143" spans="1:26">
      <c r="A143" s="87" t="s">
        <v>223</v>
      </c>
      <c r="B143" s="88">
        <f>IF(AND(Assumptions!$H144="Total"),Assumptions!B144,IF(AND(Assumptions!$H144="Per Pupil"),Assumptions!B144*Assumptions!B$22,0))</f>
        <v>0</v>
      </c>
      <c r="H143" s="4"/>
      <c r="I143" s="4"/>
      <c r="J143" s="4"/>
      <c r="K143" s="4"/>
      <c r="L143" s="4"/>
      <c r="M143" s="4"/>
      <c r="N143" s="4"/>
      <c r="O143" s="4"/>
      <c r="P143" s="4"/>
      <c r="Q143" s="4"/>
      <c r="R143" s="4"/>
      <c r="S143" s="4"/>
      <c r="T143" s="4"/>
      <c r="U143" s="4"/>
      <c r="V143" s="4"/>
      <c r="W143" s="4"/>
      <c r="X143" s="4"/>
      <c r="Y143" s="4"/>
      <c r="Z143" s="4"/>
    </row>
    <row r="144" spans="1:26">
      <c r="A144" s="87" t="s">
        <v>224</v>
      </c>
      <c r="B144" s="88">
        <f>IF(AND(Assumptions!$H145="Total"),Assumptions!B145,IF(AND(Assumptions!$H145="Per Pupil"),Assumptions!B145*Assumptions!B$22,0))</f>
        <v>0</v>
      </c>
      <c r="H144" s="4"/>
      <c r="I144" s="4"/>
      <c r="J144" s="4"/>
      <c r="K144" s="4"/>
      <c r="L144" s="4"/>
      <c r="M144" s="4"/>
      <c r="N144" s="4"/>
      <c r="O144" s="4"/>
      <c r="P144" s="4"/>
      <c r="Q144" s="4"/>
      <c r="R144" s="4"/>
      <c r="S144" s="4"/>
      <c r="T144" s="4"/>
      <c r="U144" s="4"/>
      <c r="V144" s="4"/>
      <c r="W144" s="4"/>
      <c r="X144" s="4"/>
      <c r="Y144" s="4"/>
      <c r="Z144" s="4"/>
    </row>
    <row r="145" spans="1:26">
      <c r="A145" s="87" t="s">
        <v>225</v>
      </c>
      <c r="B145" s="88">
        <f>IF(AND(Assumptions!$H146="Total"),Assumptions!B146,IF(AND(Assumptions!$H146="Per Pupil"),Assumptions!B146*Assumptions!B$22,0))</f>
        <v>0</v>
      </c>
      <c r="H145" s="4"/>
      <c r="I145" s="4"/>
      <c r="J145" s="4"/>
      <c r="K145" s="4"/>
      <c r="L145" s="4"/>
      <c r="M145" s="4"/>
      <c r="N145" s="4"/>
      <c r="O145" s="4"/>
      <c r="P145" s="4"/>
      <c r="Q145" s="4"/>
      <c r="R145" s="4"/>
      <c r="S145" s="4"/>
      <c r="T145" s="4"/>
      <c r="U145" s="4"/>
      <c r="V145" s="4"/>
      <c r="W145" s="4"/>
      <c r="X145" s="4"/>
      <c r="Y145" s="4"/>
      <c r="Z145" s="4"/>
    </row>
    <row r="146" spans="1:26">
      <c r="A146" s="87" t="s">
        <v>226</v>
      </c>
      <c r="B146" s="88">
        <f>IF(AND(Assumptions!$H149="Total"),Assumptions!B149,IF(AND(Assumptions!$H149="Per Pupil"),Assumptions!B149*Assumptions!B$22,0))</f>
        <v>0</v>
      </c>
      <c r="H146" s="4"/>
      <c r="I146" s="4"/>
      <c r="J146" s="4"/>
      <c r="K146" s="4"/>
      <c r="L146" s="4"/>
      <c r="M146" s="4"/>
      <c r="N146" s="4"/>
      <c r="O146" s="4"/>
      <c r="P146" s="4"/>
      <c r="Q146" s="4"/>
      <c r="R146" s="4"/>
      <c r="S146" s="4"/>
      <c r="T146" s="4"/>
      <c r="U146" s="4"/>
      <c r="V146" s="4"/>
      <c r="W146" s="4"/>
      <c r="X146" s="4"/>
      <c r="Y146" s="4"/>
      <c r="Z146" s="4"/>
    </row>
    <row r="147" spans="1:26">
      <c r="A147" s="87" t="s">
        <v>227</v>
      </c>
      <c r="B147" s="88">
        <f>IF(AND(Assumptions!$H151="Total"),Assumptions!B151,IF(AND(Assumptions!$H151="Per Pupil"),Assumptions!B151*Assumptions!B$22,0))</f>
        <v>0</v>
      </c>
      <c r="H147" s="4"/>
      <c r="I147" s="4"/>
      <c r="J147" s="4"/>
      <c r="K147" s="4"/>
      <c r="L147" s="4"/>
      <c r="M147" s="4"/>
      <c r="N147" s="4"/>
      <c r="O147" s="4"/>
      <c r="P147" s="4"/>
      <c r="Q147" s="4"/>
      <c r="R147" s="4"/>
      <c r="S147" s="4"/>
      <c r="T147" s="4"/>
      <c r="U147" s="4"/>
      <c r="V147" s="4"/>
      <c r="W147" s="4"/>
      <c r="X147" s="4"/>
      <c r="Y147" s="4"/>
      <c r="Z147" s="4"/>
    </row>
    <row r="148" spans="1:26">
      <c r="A148" s="87" t="s">
        <v>228</v>
      </c>
      <c r="B148" s="88">
        <f>IF(AND(Assumptions!$H152="Total"),Assumptions!B152,IF(AND(Assumptions!$H152="Per Pupil"),Assumptions!B152*Assumptions!B$22,0))</f>
        <v>0</v>
      </c>
      <c r="H148" s="4"/>
      <c r="I148" s="4"/>
      <c r="J148" s="4"/>
      <c r="K148" s="4"/>
      <c r="L148" s="4"/>
      <c r="M148" s="4"/>
      <c r="N148" s="4"/>
      <c r="O148" s="4"/>
      <c r="P148" s="4"/>
      <c r="Q148" s="4"/>
      <c r="R148" s="4"/>
      <c r="S148" s="4"/>
      <c r="T148" s="4"/>
      <c r="U148" s="4"/>
      <c r="V148" s="4"/>
      <c r="W148" s="4"/>
      <c r="X148" s="4"/>
      <c r="Y148" s="4"/>
      <c r="Z148" s="4"/>
    </row>
    <row r="149" spans="1:26">
      <c r="A149" s="87" t="s">
        <v>229</v>
      </c>
      <c r="B149" s="88">
        <f>IF(AND(Assumptions!$H153="Total"),Assumptions!B153,IF(AND(Assumptions!$H153="Per Pupil"),Assumptions!B153*Assumptions!B$22,0))</f>
        <v>0</v>
      </c>
      <c r="H149" s="4"/>
      <c r="I149" s="4"/>
      <c r="J149" s="4"/>
      <c r="K149" s="4"/>
      <c r="L149" s="4"/>
      <c r="M149" s="4"/>
      <c r="N149" s="4"/>
      <c r="O149" s="4"/>
      <c r="P149" s="4"/>
      <c r="Q149" s="4"/>
      <c r="R149" s="4"/>
      <c r="S149" s="4"/>
      <c r="T149" s="4"/>
      <c r="U149" s="4"/>
      <c r="V149" s="4"/>
      <c r="W149" s="4"/>
      <c r="X149" s="4"/>
      <c r="Y149" s="4"/>
      <c r="Z149" s="4"/>
    </row>
    <row r="150" spans="1:26">
      <c r="A150" s="87" t="s">
        <v>230</v>
      </c>
      <c r="B150" s="88">
        <f>IF(AND(Assumptions!$H154="Total"),Assumptions!B154,IF(AND(Assumptions!$H154="Per Pupil"),Assumptions!B154*Assumptions!B$22,0))</f>
        <v>0</v>
      </c>
      <c r="H150" s="4"/>
      <c r="I150" s="4"/>
      <c r="J150" s="4"/>
      <c r="K150" s="4"/>
      <c r="L150" s="4"/>
      <c r="M150" s="4"/>
      <c r="N150" s="4"/>
      <c r="O150" s="4"/>
      <c r="P150" s="4"/>
      <c r="Q150" s="4"/>
      <c r="R150" s="4"/>
      <c r="S150" s="4"/>
      <c r="T150" s="4"/>
      <c r="U150" s="4"/>
      <c r="V150" s="4"/>
      <c r="W150" s="4"/>
      <c r="X150" s="4"/>
      <c r="Y150" s="4"/>
      <c r="Z150" s="4"/>
    </row>
    <row r="151" spans="1:26">
      <c r="A151" s="87" t="s">
        <v>231</v>
      </c>
      <c r="B151" s="88">
        <f>IF(AND(Assumptions!$H155="Total"),Assumptions!B155,IF(AND(Assumptions!$H155="Per Pupil"),Assumptions!B155*Assumptions!B$22,0))</f>
        <v>0</v>
      </c>
      <c r="H151" s="4"/>
      <c r="I151" s="4"/>
      <c r="J151" s="4"/>
      <c r="K151" s="4"/>
      <c r="L151" s="4"/>
      <c r="M151" s="4"/>
      <c r="N151" s="4"/>
      <c r="O151" s="4"/>
      <c r="P151" s="4"/>
      <c r="Q151" s="4"/>
      <c r="R151" s="4"/>
      <c r="S151" s="4"/>
      <c r="T151" s="4"/>
      <c r="U151" s="4"/>
      <c r="V151" s="4"/>
      <c r="W151" s="4"/>
      <c r="X151" s="4"/>
      <c r="Y151" s="4"/>
      <c r="Z151" s="4"/>
    </row>
    <row r="152" spans="1:26">
      <c r="A152" s="87" t="s">
        <v>232</v>
      </c>
      <c r="B152" s="88">
        <f>IF(AND(Assumptions!$H156="Total"),Assumptions!B156,IF(AND(Assumptions!$H156="Per Pupil"),Assumptions!B156*Assumptions!B$22,0))</f>
        <v>0</v>
      </c>
      <c r="H152" s="4"/>
      <c r="I152" s="4"/>
      <c r="J152" s="4"/>
      <c r="K152" s="4"/>
      <c r="L152" s="4"/>
      <c r="M152" s="4"/>
      <c r="N152" s="4"/>
      <c r="O152" s="4"/>
      <c r="P152" s="4"/>
      <c r="Q152" s="4"/>
      <c r="R152" s="4"/>
      <c r="S152" s="4"/>
      <c r="T152" s="4"/>
      <c r="U152" s="4"/>
      <c r="V152" s="4"/>
      <c r="W152" s="4"/>
      <c r="X152" s="4"/>
      <c r="Y152" s="4"/>
      <c r="Z152" s="4"/>
    </row>
    <row r="153" spans="1:26">
      <c r="A153" s="87" t="s">
        <v>233</v>
      </c>
      <c r="B153" s="88">
        <f>IF(AND(Assumptions!$H157="Total"),Assumptions!B157,IF(AND(Assumptions!$H157="Per Pupil"),Assumptions!B157*Assumptions!B$22,0))</f>
        <v>0</v>
      </c>
      <c r="H153" s="4"/>
      <c r="I153" s="4"/>
      <c r="J153" s="4"/>
      <c r="K153" s="4"/>
      <c r="L153" s="4"/>
      <c r="M153" s="4"/>
      <c r="N153" s="4"/>
      <c r="O153" s="4"/>
      <c r="P153" s="4"/>
      <c r="Q153" s="4"/>
      <c r="R153" s="4"/>
      <c r="S153" s="4"/>
      <c r="T153" s="4"/>
      <c r="U153" s="4"/>
      <c r="V153" s="4"/>
      <c r="W153" s="4"/>
      <c r="X153" s="4"/>
      <c r="Y153" s="4"/>
      <c r="Z153" s="4"/>
    </row>
    <row r="154" spans="1:26">
      <c r="A154" s="87" t="s">
        <v>234</v>
      </c>
      <c r="B154" s="88">
        <f>IF(AND(Assumptions!$H158="Total"),Assumptions!B158,IF(AND(Assumptions!$H158="Per Pupil"),Assumptions!B158*Assumptions!B$22,0))</f>
        <v>0</v>
      </c>
      <c r="H154" s="4"/>
      <c r="I154" s="4"/>
      <c r="J154" s="4"/>
      <c r="K154" s="4"/>
      <c r="L154" s="4"/>
      <c r="M154" s="4"/>
      <c r="N154" s="4"/>
      <c r="O154" s="4"/>
      <c r="P154" s="4"/>
      <c r="Q154" s="4"/>
      <c r="R154" s="4"/>
      <c r="S154" s="4"/>
      <c r="T154" s="4"/>
      <c r="U154" s="4"/>
      <c r="V154" s="4"/>
      <c r="W154" s="4"/>
      <c r="X154" s="4"/>
      <c r="Y154" s="4"/>
      <c r="Z154" s="4"/>
    </row>
    <row r="155" spans="1:26">
      <c r="A155" s="87" t="s">
        <v>235</v>
      </c>
      <c r="B155" s="88">
        <f>IF(AND(Assumptions!$H159="Total"),Assumptions!B159,IF(AND(Assumptions!$H159="Per Pupil"),Assumptions!B159*Assumptions!B$22,0))</f>
        <v>0</v>
      </c>
      <c r="H155" s="4"/>
      <c r="I155" s="4"/>
      <c r="J155" s="4"/>
      <c r="K155" s="4"/>
      <c r="L155" s="4"/>
      <c r="M155" s="4"/>
      <c r="N155" s="4"/>
      <c r="O155" s="4"/>
      <c r="P155" s="4"/>
      <c r="Q155" s="4"/>
      <c r="R155" s="4"/>
      <c r="S155" s="4"/>
      <c r="T155" s="4"/>
      <c r="U155" s="4"/>
      <c r="V155" s="4"/>
      <c r="W155" s="4"/>
      <c r="X155" s="4"/>
      <c r="Y155" s="4"/>
      <c r="Z155" s="4"/>
    </row>
    <row r="156" spans="1:26">
      <c r="A156" s="87" t="s">
        <v>236</v>
      </c>
      <c r="B156" s="88">
        <f>IF(AND(Assumptions!$H160="Total"),Assumptions!B160,IF(AND(Assumptions!$H160="Per Pupil"),Assumptions!B160*Assumptions!B$22,0))</f>
        <v>0</v>
      </c>
      <c r="H156" s="4"/>
      <c r="I156" s="4"/>
      <c r="J156" s="4"/>
      <c r="K156" s="4"/>
      <c r="L156" s="4"/>
      <c r="M156" s="4"/>
      <c r="N156" s="4"/>
      <c r="O156" s="4"/>
      <c r="P156" s="4"/>
      <c r="Q156" s="4"/>
      <c r="R156" s="4"/>
      <c r="S156" s="4"/>
      <c r="T156" s="4"/>
      <c r="U156" s="4"/>
      <c r="V156" s="4"/>
      <c r="W156" s="4"/>
      <c r="X156" s="4"/>
      <c r="Y156" s="4"/>
      <c r="Z156" s="4"/>
    </row>
    <row r="157" spans="1:26">
      <c r="A157" s="87" t="s">
        <v>237</v>
      </c>
      <c r="B157" s="88">
        <f>IF(AND(Assumptions!$H161="Total"),Assumptions!B161,IF(AND(Assumptions!$H161="Per Pupil"),Assumptions!B161*Assumptions!B$22,0))</f>
        <v>0</v>
      </c>
      <c r="H157" s="4"/>
      <c r="I157" s="4"/>
      <c r="J157" s="4"/>
      <c r="K157" s="4"/>
      <c r="L157" s="4"/>
      <c r="M157" s="4"/>
      <c r="N157" s="4"/>
      <c r="O157" s="4"/>
      <c r="P157" s="4"/>
      <c r="Q157" s="4"/>
      <c r="R157" s="4"/>
      <c r="S157" s="4"/>
      <c r="T157" s="4"/>
      <c r="U157" s="4"/>
      <c r="V157" s="4"/>
      <c r="W157" s="4"/>
      <c r="X157" s="4"/>
      <c r="Y157" s="4"/>
      <c r="Z157" s="4"/>
    </row>
    <row r="158" spans="1:26">
      <c r="A158" s="87" t="str">
        <f>Assumptions!A162</f>
        <v>Oasis HR Services</v>
      </c>
      <c r="B158" s="88">
        <f>IF(AND(Assumptions!$H162="Total"),Assumptions!B162,IF(AND(Assumptions!$H162="Per Pupil"),Assumptions!B162*Assumptions!B$22,0))</f>
        <v>0</v>
      </c>
      <c r="H158" s="4"/>
      <c r="I158" s="4"/>
      <c r="J158" s="4"/>
      <c r="K158" s="4"/>
      <c r="L158" s="4"/>
      <c r="M158" s="4"/>
      <c r="N158" s="4"/>
      <c r="O158" s="4"/>
      <c r="P158" s="4"/>
      <c r="Q158" s="4"/>
      <c r="R158" s="4"/>
      <c r="S158" s="4"/>
      <c r="T158" s="4"/>
      <c r="U158" s="4"/>
      <c r="V158" s="4"/>
      <c r="W158" s="4"/>
      <c r="X158" s="4"/>
      <c r="Y158" s="4"/>
      <c r="Z158" s="4"/>
    </row>
    <row r="159" spans="1:26">
      <c r="A159" s="87" t="str">
        <f>Assumptions!A163</f>
        <v>Audit Fees</v>
      </c>
      <c r="B159" s="88">
        <f>IF(AND(Assumptions!$H163="Total"),Assumptions!B163,IF(AND(Assumptions!$H163="Per Pupil"),Assumptions!B163*Assumptions!B$22,0))</f>
        <v>0</v>
      </c>
      <c r="H159" s="4"/>
      <c r="I159" s="4"/>
      <c r="J159" s="4"/>
      <c r="K159" s="4"/>
      <c r="L159" s="4"/>
      <c r="M159" s="4"/>
      <c r="N159" s="4"/>
      <c r="O159" s="4"/>
      <c r="P159" s="4"/>
      <c r="Q159" s="4"/>
      <c r="R159" s="4"/>
      <c r="S159" s="4"/>
      <c r="T159" s="4"/>
      <c r="U159" s="4"/>
      <c r="V159" s="4"/>
      <c r="W159" s="4"/>
      <c r="X159" s="4"/>
      <c r="Y159" s="4"/>
      <c r="Z159" s="4"/>
    </row>
    <row r="160" spans="1:26">
      <c r="A160" s="87" t="str">
        <f>Assumptions!A164</f>
        <v>Accounting Fees</v>
      </c>
      <c r="B160" s="88">
        <f>IF(AND(Assumptions!$H164="Total"),Assumptions!B164,IF(AND(Assumptions!$H164="Per Pupil"),Assumptions!B164*Assumptions!B$22,0))</f>
        <v>0</v>
      </c>
      <c r="H160" s="4"/>
      <c r="I160" s="4"/>
      <c r="J160" s="4"/>
      <c r="K160" s="4"/>
      <c r="L160" s="4"/>
      <c r="M160" s="4"/>
      <c r="N160" s="4"/>
      <c r="O160" s="4"/>
      <c r="P160" s="4"/>
      <c r="Q160" s="4"/>
      <c r="R160" s="4"/>
      <c r="S160" s="4"/>
      <c r="T160" s="4"/>
      <c r="U160" s="4"/>
      <c r="V160" s="4"/>
      <c r="W160" s="4"/>
      <c r="X160" s="4"/>
      <c r="Y160" s="4"/>
      <c r="Z160" s="4"/>
    </row>
    <row r="161" spans="1:26">
      <c r="A161" s="87" t="str">
        <f>Assumptions!A165</f>
        <v>Other</v>
      </c>
      <c r="B161" s="88">
        <f>IF(AND(Assumptions!$H165="Total"),Assumptions!B165,IF(AND(Assumptions!$H165="Per Pupil"),Assumptions!B165*Assumptions!B$22,0))</f>
        <v>0</v>
      </c>
      <c r="H161" s="4"/>
      <c r="I161" s="4"/>
      <c r="J161" s="4"/>
      <c r="K161" s="4"/>
      <c r="L161" s="4"/>
      <c r="M161" s="4"/>
      <c r="N161" s="4"/>
      <c r="O161" s="4"/>
      <c r="P161" s="4"/>
      <c r="Q161" s="4"/>
      <c r="R161" s="4"/>
      <c r="S161" s="4"/>
      <c r="T161" s="4"/>
      <c r="U161" s="4"/>
      <c r="V161" s="4"/>
      <c r="W161" s="4"/>
      <c r="X161" s="4"/>
      <c r="Y161" s="4"/>
      <c r="Z161" s="4"/>
    </row>
    <row r="162" spans="1:26">
      <c r="A162" s="87" t="str">
        <f>Assumptions!A166</f>
        <v>IT Services</v>
      </c>
      <c r="B162" s="88">
        <f>IF(AND(Assumptions!$H166="Total"),Assumptions!B166,IF(AND(Assumptions!$H166="Per Pupil"),Assumptions!B166*Assumptions!B$22,0))</f>
        <v>0</v>
      </c>
      <c r="H162" s="4"/>
      <c r="I162" s="4"/>
      <c r="J162" s="4"/>
      <c r="K162" s="4"/>
      <c r="L162" s="4"/>
      <c r="M162" s="4"/>
      <c r="N162" s="4"/>
      <c r="O162" s="4"/>
      <c r="P162" s="4"/>
      <c r="Q162" s="4"/>
      <c r="R162" s="4"/>
      <c r="S162" s="4"/>
      <c r="T162" s="4"/>
      <c r="U162" s="4"/>
      <c r="V162" s="4"/>
      <c r="W162" s="4"/>
      <c r="X162" s="4"/>
      <c r="Y162" s="4"/>
      <c r="Z162" s="4"/>
    </row>
    <row r="163" spans="1:26">
      <c r="A163" s="87" t="str">
        <f>Assumptions!A167</f>
        <v>Special Education Contracted Services</v>
      </c>
      <c r="B163" s="88">
        <f>IF(AND(Assumptions!$H167="Total"),Assumptions!B167,IF(AND(Assumptions!$H167="Per Pupil"),Assumptions!B167*Assumptions!B$22,0))</f>
        <v>0</v>
      </c>
      <c r="H163" s="4"/>
      <c r="I163" s="4"/>
      <c r="J163" s="4"/>
      <c r="K163" s="4"/>
      <c r="L163" s="4"/>
      <c r="M163" s="4"/>
      <c r="N163" s="4"/>
      <c r="O163" s="4"/>
      <c r="P163" s="4"/>
      <c r="Q163" s="4"/>
      <c r="R163" s="4"/>
      <c r="S163" s="4"/>
      <c r="T163" s="4"/>
      <c r="U163" s="4"/>
      <c r="V163" s="4"/>
      <c r="W163" s="4"/>
      <c r="X163" s="4"/>
      <c r="Y163" s="4"/>
      <c r="Z163" s="4"/>
    </row>
    <row r="164" spans="1:26">
      <c r="A164" s="87" t="str">
        <f>Assumptions!A168</f>
        <v>Other</v>
      </c>
      <c r="B164" s="88">
        <f>IF(AND(Assumptions!$H168="Total"),Assumptions!B168,IF(AND(Assumptions!$H168="Per Pupil"),Assumptions!B168*Assumptions!B$22,0))</f>
        <v>0</v>
      </c>
      <c r="H164" s="4"/>
      <c r="I164" s="4"/>
      <c r="J164" s="4"/>
      <c r="K164" s="4"/>
      <c r="L164" s="4"/>
      <c r="M164" s="4"/>
      <c r="N164" s="4"/>
      <c r="O164" s="4"/>
      <c r="P164" s="4"/>
      <c r="Q164" s="4"/>
      <c r="R164" s="4"/>
      <c r="S164" s="4"/>
      <c r="T164" s="4"/>
      <c r="U164" s="4"/>
      <c r="V164" s="4"/>
      <c r="W164" s="4"/>
      <c r="X164" s="4"/>
      <c r="Y164" s="4"/>
      <c r="Z164" s="4"/>
    </row>
    <row r="165" spans="1:26">
      <c r="A165" s="87" t="str">
        <f>Assumptions!A169</f>
        <v>Other</v>
      </c>
      <c r="B165" s="89">
        <f>IF(AND(Assumptions!$H169="Total"),Assumptions!B169,IF(AND(Assumptions!$H169="Per Pupil"),Assumptions!B169*Assumptions!B$22,0))</f>
        <v>0</v>
      </c>
      <c r="H165" s="4"/>
      <c r="I165" s="4"/>
      <c r="J165" s="4"/>
      <c r="K165" s="4"/>
      <c r="L165" s="4"/>
      <c r="M165" s="4"/>
      <c r="N165" s="4"/>
      <c r="O165" s="4"/>
      <c r="P165" s="4"/>
      <c r="Q165" s="4"/>
      <c r="R165" s="4"/>
      <c r="S165" s="4"/>
      <c r="T165" s="4"/>
      <c r="U165" s="4"/>
      <c r="V165" s="4"/>
      <c r="W165" s="4"/>
      <c r="X165" s="4"/>
      <c r="Y165" s="4"/>
      <c r="Z165" s="4"/>
    </row>
    <row r="166" spans="1:26">
      <c r="A166" s="85" t="s">
        <v>238</v>
      </c>
      <c r="B166" s="90">
        <f>SUM(B138:B165)</f>
        <v>0</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85"/>
      <c r="B167" s="90"/>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85" t="s">
        <v>239</v>
      </c>
      <c r="B168" s="88"/>
    </row>
    <row r="169" spans="1:26">
      <c r="A169" s="87" t="s">
        <v>240</v>
      </c>
      <c r="B169" s="88">
        <f>Assumptions!B172</f>
        <v>0</v>
      </c>
    </row>
    <row r="170" spans="1:26">
      <c r="A170" s="87" t="s">
        <v>241</v>
      </c>
      <c r="B170" s="88">
        <f>Assumptions!B173</f>
        <v>0</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87" t="s">
        <v>242</v>
      </c>
      <c r="B171" s="88">
        <f>Assumptions!B174</f>
        <v>0</v>
      </c>
    </row>
    <row r="172" spans="1:26">
      <c r="A172" s="87" t="s">
        <v>243</v>
      </c>
      <c r="B172" s="88">
        <f>Assumptions!B175</f>
        <v>0</v>
      </c>
    </row>
    <row r="173" spans="1:26">
      <c r="A173" s="87" t="s">
        <v>244</v>
      </c>
      <c r="B173" s="89">
        <f>Assumptions!B176</f>
        <v>0</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85" t="s">
        <v>245</v>
      </c>
      <c r="B174" s="90">
        <f>SUM(B169:B173)</f>
        <v>0</v>
      </c>
    </row>
    <row r="175" spans="1:26">
      <c r="A175" s="85"/>
      <c r="B175" s="90"/>
    </row>
    <row r="176" spans="1:26">
      <c r="A176" s="85" t="s">
        <v>246</v>
      </c>
      <c r="B176" s="90"/>
    </row>
    <row r="177" spans="1:26">
      <c r="A177" s="87" t="s">
        <v>247</v>
      </c>
      <c r="B177" s="88">
        <f>Assumptions!B179</f>
        <v>0</v>
      </c>
    </row>
    <row r="178" spans="1:26">
      <c r="A178" s="87" t="s">
        <v>248</v>
      </c>
      <c r="B178" s="88">
        <f>Assumptions!B180</f>
        <v>0</v>
      </c>
    </row>
    <row r="179" spans="1:26">
      <c r="A179" s="87" t="s">
        <v>249</v>
      </c>
      <c r="B179" s="88">
        <f>Assumptions!B181</f>
        <v>0</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87" t="s">
        <v>250</v>
      </c>
      <c r="B180" s="89">
        <f>Assumptions!B182</f>
        <v>0</v>
      </c>
    </row>
    <row r="181" spans="1:26">
      <c r="A181" s="85" t="s">
        <v>251</v>
      </c>
      <c r="B181" s="90">
        <f>SUM(B177:B180)</f>
        <v>0</v>
      </c>
    </row>
    <row r="182" spans="1:26">
      <c r="A182" s="85"/>
      <c r="B182" s="90"/>
    </row>
    <row r="183" spans="1:26">
      <c r="A183" s="85" t="s">
        <v>252</v>
      </c>
      <c r="B183" s="90"/>
    </row>
    <row r="184" spans="1:26">
      <c r="A184" s="87" t="s">
        <v>253</v>
      </c>
      <c r="B184" s="88">
        <f>Assumptions!B185</f>
        <v>0</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87" t="s">
        <v>254</v>
      </c>
      <c r="B185" s="89">
        <f>Assumptions!B186</f>
        <v>0</v>
      </c>
    </row>
    <row r="186" spans="1:26">
      <c r="A186" s="85" t="s">
        <v>255</v>
      </c>
      <c r="B186" s="90">
        <f>SUM(B184:B185)</f>
        <v>0</v>
      </c>
      <c r="W186" s="96" t="e">
        <f>(SUM(Assumptions!B69:B77,Assumptions!B80:B84,Assumptions!B87:B88,Assumptions!B91:B93,Assumptions!B96:B98,Assumptions!B101:B103,Assumptions!B106:B106,Assumptions!#REF!,Assumptions!#REF!,Assumptions!#REF!,Assumptions!B107:B110,Assumptions!B113:B118,Assumptions!B135:B136,Assumptions!B172:B176,Assumptions!B179:B182,Assumptions!B185:B186)+IF(AND(Assumptions!$H139="Total"),Assumptions!B139,IF(AND(Assumptions!$H139="Per Pupil"),Assumptions!B139*Assumptions!B$22,0))+IF(AND(Assumptions!$H140="Total"),Assumptions!B140,IF(AND(Assumptions!$H140="Per Pupil"),Assumptions!B140*Assumptions!B$22,0))+IF(AND(Assumptions!$H141="Total"),Assumptions!B141,IF(AND(Assumptions!$H141="Per Pupil"),Assumptions!B141*Assumptions!B$22,0))+IF(AND(Assumptions!$H142="Total"),Assumptions!B142,IF(AND(Assumptions!$H142="Per Pupil"),Assumptions!B142*Assumptions!B$22,0))+IF(AND(Assumptions!$H143="Total"),Assumptions!B143,IF(AND(Assumptions!$H143="Per Pupil"),Assumptions!B143*Assumptions!B$22,0))+IF(AND(Assumptions!$H144="Total"),Assumptions!B144,IF(AND(Assumptions!$H144="Per Pupil"),Assumptions!B144*Assumptions!B$22,0))+IF(AND(Assumptions!$H145="Total"),Assumptions!B145,IF(AND(Assumptions!$H145="Per Pupil"),Assumptions!B145*Assumptions!B$22,0))+IF(AND(Assumptions!$H146="Total"),Assumptions!B146,IF(AND(Assumptions!$H146="Per Pupil"),Assumptions!B146*Assumptions!B$22,0))+IF(AND(Assumptions!$H149="Total"),Assumptions!B149,IF(AND(Assumptions!$H149="Per Pupil"),Assumptions!B149*Assumptions!B$22,0))+IF(AND(Assumptions!$H151="Total"),Assumptions!B151,IF(AND(Assumptions!$H151="Per Pupil"),Assumptions!B151*Assumptions!B$22,0))+IF(AND(Assumptions!$H152="Total"),Assumptions!B152,IF(AND(Assumptions!$H152="Per Pupil"),Assumptions!B152*Assumptions!B$22,0))+IF(AND(Assumptions!$H153="Total"),Assumptions!B153,IF(AND(Assumptions!$H153="Per Pupil"),Assumptions!B153*Assumptions!B$22,0))+IF(AND(Assumptions!$H154="Total"),Assumptions!B154,IF(AND(Assumptions!$H154="Per Pupil"),Assumptions!B154*Assumptions!B$22,0))+IF(AND(Assumptions!$H155="Total"),Assumptions!B155,IF(AND(Assumptions!$H155="Per Pupil"),Assumptions!B155*Assumptions!B$22,0))+IF(AND(Assumptions!$H156="Total"),Assumptions!B156,IF(AND(Assumptions!$H156="Per Pupil"),Assumptions!B156*Assumptions!B$22,0))+IF(AND(Assumptions!$H157="Total"),Assumptions!B157,IF(AND(Assumptions!$H157="Per Pupil"),Assumptions!B157*Assumptions!B$22,0))+IF(AND(Assumptions!$H158="Total"),Assumptions!B158,IF(AND(Assumptions!$H158="Per Pupil"),Assumptions!B158*Assumptions!B$22,0))+IF(AND(Assumptions!$H159="Total"),Assumptions!B159,IF(AND(Assumptions!$H159="Per Pupil"),Assumptions!B159*Assumptions!B$22,0))+IF(AND(Assumptions!$H160="Total"),Assumptions!B160,IF(AND(Assumptions!$H160="Per Pupil"),Assumptions!B160*Assumptions!B$22,0))+IF(AND(Assumptions!$H161="Total"),Assumptions!B161,IF(AND(Assumptions!$H161="Per Pupil"),Assumptions!B161*Assumptions!B$22,0))+IF(AND(Assumptions!$H162="Total"),Assumptions!B162,IF(AND(Assumptions!$H162="Per Pupil"),Assumptions!B162*Assumptions!B$22,0))+IF(AND(Assumptions!$H163="Total"),Assumptions!B163,IF(AND(Assumptions!$H163="Per Pupil"),Assumptions!B163*Assumptions!B$22,0))+IF(AND(Assumptions!$H164="Total"),Assumptions!B164,IF(AND(Assumptions!$H164="Per Pupil"),Assumptions!B164*Assumptions!B$22,0))+IF(AND(Assumptions!$H165="Total"),Assumptions!B165,IF(AND(Assumptions!$H165="Per Pupil"),Assumptions!B165*Assumptions!B$22,0))+IF(AND(Assumptions!$H166="Total"),Assumptions!B166,IF(AND(Assumptions!$H166="Per Pupil"),Assumptions!B166*Assumptions!B$22,0))+IF(AND(Assumptions!$H167="Total"),Assumptions!B167,IF(AND(Assumptions!$H167="Per Pupil"),Assumptions!B167*Assumptions!B$22,0))+IF(AND(Assumptions!$H168="Total"),Assumptions!B168,IF(AND(Assumptions!$H168="Per Pupil"),Assumptions!B168*Assumptions!B$22,0))+IF(AND(Assumptions!$H169="Total"),Assumptions!B169,IF(AND(Assumptions!$H169="Per Pupil"),Assumptions!B169*Assumptions!B$22,0)))-($B$188-$B$55)</f>
        <v>#REF!</v>
      </c>
    </row>
    <row r="187" spans="1:26">
      <c r="A187" s="85"/>
      <c r="B187" s="90"/>
    </row>
    <row r="188" spans="1:26" ht="15.75">
      <c r="A188" s="100" t="s">
        <v>256</v>
      </c>
      <c r="B188" s="92">
        <f>B186+B181+B174+B166+B135+B130+B112+B106+B98+B92+B86+B80+B75+B67+B55</f>
        <v>0</v>
      </c>
    </row>
    <row r="189" spans="1:26">
      <c r="A189" s="23"/>
      <c r="B189" s="90"/>
    </row>
    <row r="190" spans="1:26">
      <c r="A190" s="23" t="s">
        <v>257</v>
      </c>
      <c r="B190" s="101"/>
    </row>
    <row r="191" spans="1:26">
      <c r="A191" s="87"/>
      <c r="B191" s="88"/>
    </row>
    <row r="192" spans="1:26" ht="15.75">
      <c r="A192" s="102" t="s">
        <v>258</v>
      </c>
      <c r="B192" s="90">
        <f>B28-B188-B190</f>
        <v>0</v>
      </c>
    </row>
    <row r="193" spans="1:26" ht="30">
      <c r="A193" s="103" t="s">
        <v>259</v>
      </c>
      <c r="B193" s="88">
        <f>(B28-B26)*0.03</f>
        <v>0</v>
      </c>
      <c r="C193" s="63"/>
    </row>
    <row r="194" spans="1:26">
      <c r="A194" s="104" t="s">
        <v>260</v>
      </c>
      <c r="B194" s="88">
        <f>B192-B193</f>
        <v>0</v>
      </c>
    </row>
    <row r="195" spans="1:26">
      <c r="A195" s="105"/>
      <c r="B195" s="88"/>
    </row>
    <row r="196" spans="1:26">
      <c r="A196" s="106" t="s">
        <v>261</v>
      </c>
      <c r="B196" s="90">
        <v>0</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106" t="s">
        <v>262</v>
      </c>
      <c r="B197" s="90">
        <f>B193+B196</f>
        <v>0</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105"/>
      <c r="B198" s="8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106" t="s">
        <v>263</v>
      </c>
      <c r="B199" s="90">
        <v>0</v>
      </c>
    </row>
    <row r="200" spans="1:26">
      <c r="A200" s="106" t="s">
        <v>264</v>
      </c>
      <c r="B200" s="90">
        <f>B199+B192</f>
        <v>0</v>
      </c>
    </row>
  </sheetData>
  <mergeCells count="3">
    <mergeCell ref="A1:B1"/>
    <mergeCell ref="A2:B2"/>
    <mergeCell ref="A6: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ySplit="5" topLeftCell="A161" activePane="bottomLeft" state="frozen"/>
      <selection pane="bottomLeft" activeCell="B4" sqref="B4"/>
    </sheetView>
  </sheetViews>
  <sheetFormatPr defaultColWidth="14.42578125" defaultRowHeight="15" customHeight="1"/>
  <cols>
    <col min="1" max="1" width="71.28515625" customWidth="1"/>
    <col min="2" max="2" width="14.28515625" customWidth="1"/>
    <col min="3" max="3" width="9.140625" customWidth="1"/>
    <col min="4" max="4" width="9.5703125" customWidth="1"/>
    <col min="5" max="5" width="9.140625" customWidth="1"/>
    <col min="6" max="6" width="9.5703125" customWidth="1"/>
    <col min="7" max="24" width="9.140625" customWidth="1"/>
    <col min="25" max="26" width="8.7109375" customWidth="1"/>
  </cols>
  <sheetData>
    <row r="1" spans="1:26" ht="18.75">
      <c r="A1" s="322" t="str">
        <f>TEXT(Assumptions!A1,1)</f>
        <v>Leman Academy of Excellence</v>
      </c>
      <c r="B1" s="297"/>
      <c r="C1" s="80"/>
      <c r="D1" s="80"/>
      <c r="E1" s="80"/>
      <c r="F1" s="80"/>
      <c r="G1" s="80"/>
      <c r="H1" s="80"/>
      <c r="I1" s="80"/>
      <c r="J1" s="80"/>
      <c r="K1" s="80"/>
      <c r="L1" s="80"/>
      <c r="M1" s="80"/>
      <c r="N1" s="80"/>
      <c r="O1" s="80"/>
      <c r="P1" s="80"/>
      <c r="Q1" s="80"/>
      <c r="R1" s="80"/>
      <c r="S1" s="80"/>
      <c r="T1" s="80"/>
      <c r="U1" s="80"/>
      <c r="V1" s="80"/>
      <c r="W1" s="80"/>
      <c r="X1" s="80"/>
      <c r="Y1" s="80"/>
      <c r="Z1" s="80"/>
    </row>
    <row r="2" spans="1:26" ht="18.75">
      <c r="A2" s="323" t="s">
        <v>265</v>
      </c>
      <c r="B2" s="305"/>
      <c r="C2" s="80"/>
      <c r="D2" s="80"/>
      <c r="E2" s="80"/>
      <c r="F2" s="80"/>
      <c r="G2" s="80"/>
      <c r="H2" s="80"/>
      <c r="I2" s="80"/>
      <c r="J2" s="80"/>
      <c r="K2" s="80"/>
      <c r="L2" s="80"/>
      <c r="M2" s="80"/>
      <c r="N2" s="80"/>
      <c r="O2" s="80"/>
      <c r="P2" s="80"/>
      <c r="Q2" s="80"/>
      <c r="R2" s="80"/>
      <c r="S2" s="80"/>
      <c r="T2" s="80"/>
      <c r="U2" s="80"/>
      <c r="V2" s="80"/>
      <c r="W2" s="80"/>
      <c r="X2" s="80"/>
      <c r="Y2" s="80"/>
      <c r="Z2" s="80"/>
    </row>
    <row r="3" spans="1:26" ht="18.75">
      <c r="A3" s="81" t="s">
        <v>20</v>
      </c>
      <c r="B3" s="82">
        <f>Assumptions!C21</f>
        <v>480</v>
      </c>
      <c r="C3" s="80"/>
      <c r="D3" s="80"/>
      <c r="E3" s="80"/>
      <c r="F3" s="80"/>
      <c r="G3" s="80"/>
      <c r="H3" s="80"/>
      <c r="I3" s="80"/>
      <c r="J3" s="80"/>
      <c r="K3" s="80"/>
      <c r="L3" s="80"/>
      <c r="M3" s="80"/>
      <c r="N3" s="80"/>
      <c r="O3" s="80"/>
      <c r="P3" s="80"/>
      <c r="Q3" s="80"/>
      <c r="R3" s="80"/>
      <c r="S3" s="80"/>
      <c r="T3" s="80"/>
      <c r="U3" s="80"/>
      <c r="V3" s="80"/>
      <c r="W3" s="80"/>
      <c r="X3" s="80"/>
      <c r="Y3" s="80"/>
      <c r="Z3" s="80"/>
    </row>
    <row r="4" spans="1:26">
      <c r="A4" s="81" t="s">
        <v>142</v>
      </c>
      <c r="B4" s="82">
        <f>Assumptions!C22</f>
        <v>490.4</v>
      </c>
      <c r="C4" s="4"/>
      <c r="D4" s="4"/>
      <c r="E4" s="4"/>
      <c r="F4" s="4"/>
      <c r="G4" s="4"/>
      <c r="H4" s="4"/>
      <c r="I4" s="4"/>
      <c r="J4" s="4"/>
      <c r="K4" s="4"/>
      <c r="L4" s="4"/>
      <c r="M4" s="4"/>
      <c r="N4" s="4"/>
      <c r="O4" s="4"/>
      <c r="P4" s="4"/>
      <c r="Q4" s="4"/>
      <c r="R4" s="4"/>
      <c r="S4" s="4"/>
      <c r="T4" s="4"/>
      <c r="U4" s="4"/>
      <c r="V4" s="4"/>
      <c r="W4" s="4"/>
      <c r="X4" s="4"/>
      <c r="Y4" s="4"/>
      <c r="Z4" s="4"/>
    </row>
    <row r="5" spans="1:26" ht="15.75">
      <c r="A5" s="83"/>
      <c r="B5" s="84" t="s">
        <v>143</v>
      </c>
      <c r="C5" s="4"/>
      <c r="D5" s="4"/>
      <c r="E5" s="4"/>
      <c r="F5" s="4"/>
      <c r="G5" s="4"/>
      <c r="H5" s="4"/>
      <c r="I5" s="4"/>
      <c r="J5" s="4"/>
      <c r="K5" s="4"/>
      <c r="L5" s="4"/>
      <c r="M5" s="4"/>
      <c r="N5" s="4"/>
      <c r="O5" s="4"/>
      <c r="P5" s="4"/>
      <c r="Q5" s="4"/>
      <c r="R5" s="4"/>
      <c r="S5" s="4"/>
      <c r="T5" s="4"/>
      <c r="U5" s="4"/>
      <c r="V5" s="4"/>
      <c r="W5" s="4"/>
      <c r="X5" s="4"/>
      <c r="Y5" s="4"/>
      <c r="Z5" s="4"/>
    </row>
    <row r="6" spans="1:26" ht="18.75">
      <c r="A6" s="324" t="s">
        <v>144</v>
      </c>
      <c r="B6" s="312"/>
      <c r="C6" s="4"/>
      <c r="D6" s="4"/>
      <c r="E6" s="4"/>
      <c r="F6" s="4"/>
      <c r="G6" s="4"/>
      <c r="H6" s="4"/>
      <c r="I6" s="4"/>
      <c r="J6" s="4"/>
      <c r="K6" s="4"/>
      <c r="L6" s="4"/>
      <c r="M6" s="4"/>
      <c r="N6" s="4"/>
      <c r="O6" s="4"/>
      <c r="P6" s="4"/>
      <c r="Q6" s="4"/>
      <c r="R6" s="4"/>
      <c r="S6" s="4"/>
      <c r="T6" s="4"/>
      <c r="U6" s="4"/>
      <c r="V6" s="4"/>
      <c r="W6" s="4"/>
      <c r="X6" s="4"/>
      <c r="Y6" s="4"/>
      <c r="Z6" s="4"/>
    </row>
    <row r="7" spans="1:26">
      <c r="A7" s="85" t="s">
        <v>145</v>
      </c>
      <c r="B7" s="4"/>
      <c r="C7" s="4"/>
      <c r="D7" s="4"/>
      <c r="E7" s="4"/>
      <c r="F7" s="4"/>
      <c r="G7" s="4"/>
      <c r="H7" s="4"/>
      <c r="I7" s="4"/>
      <c r="J7" s="4"/>
      <c r="K7" s="4"/>
      <c r="L7" s="4"/>
      <c r="M7" s="4"/>
      <c r="N7" s="4"/>
      <c r="O7" s="4"/>
      <c r="P7" s="4"/>
      <c r="Q7" s="4"/>
      <c r="R7" s="4"/>
      <c r="S7" s="4"/>
      <c r="T7" s="4"/>
      <c r="U7" s="4"/>
      <c r="V7" s="4"/>
      <c r="W7" s="4"/>
      <c r="X7" s="4"/>
      <c r="Y7" s="4"/>
      <c r="Z7" s="4"/>
    </row>
    <row r="8" spans="1:26">
      <c r="A8" s="87" t="s">
        <v>146</v>
      </c>
      <c r="B8" s="88">
        <f>ROUND(Assumptions!C28*Assumptions!C21,0)</f>
        <v>254400</v>
      </c>
      <c r="C8" s="4"/>
      <c r="D8" s="4"/>
      <c r="E8" s="4"/>
      <c r="F8" s="4"/>
      <c r="G8" s="4"/>
      <c r="H8" s="4"/>
      <c r="I8" s="4"/>
      <c r="J8" s="4"/>
      <c r="K8" s="4"/>
      <c r="L8" s="4"/>
      <c r="M8" s="4"/>
      <c r="N8" s="4"/>
      <c r="O8" s="4"/>
      <c r="P8" s="4"/>
      <c r="Q8" s="4"/>
      <c r="R8" s="4"/>
      <c r="S8" s="4"/>
      <c r="T8" s="4"/>
      <c r="U8" s="4"/>
      <c r="V8" s="4"/>
      <c r="W8" s="4"/>
      <c r="X8" s="4"/>
      <c r="Y8" s="4"/>
      <c r="Z8" s="4"/>
    </row>
    <row r="9" spans="1:26">
      <c r="A9" s="87" t="s">
        <v>147</v>
      </c>
      <c r="B9" s="88">
        <f>Assumptions!C29</f>
        <v>227500</v>
      </c>
      <c r="C9" s="4"/>
      <c r="D9" s="4"/>
      <c r="E9" s="4"/>
      <c r="F9" s="4"/>
      <c r="G9" s="4"/>
      <c r="H9" s="4"/>
      <c r="I9" s="4"/>
      <c r="J9" s="4"/>
      <c r="K9" s="4"/>
      <c r="L9" s="4"/>
      <c r="M9" s="4"/>
      <c r="N9" s="4"/>
      <c r="O9" s="4"/>
      <c r="P9" s="4"/>
      <c r="Q9" s="4"/>
      <c r="R9" s="4"/>
      <c r="S9" s="4"/>
      <c r="T9" s="4"/>
      <c r="U9" s="4"/>
      <c r="V9" s="4"/>
      <c r="W9" s="4"/>
      <c r="X9" s="4"/>
      <c r="Y9" s="4"/>
      <c r="Z9" s="4"/>
    </row>
    <row r="10" spans="1:26">
      <c r="A10" s="87" t="s">
        <v>148</v>
      </c>
      <c r="B10" s="88">
        <f>Assumptions!C31</f>
        <v>0</v>
      </c>
      <c r="C10" s="4"/>
      <c r="D10" s="4"/>
      <c r="E10" s="4"/>
      <c r="F10" s="4"/>
      <c r="G10" s="4"/>
      <c r="H10" s="4"/>
      <c r="I10" s="4"/>
      <c r="J10" s="4"/>
      <c r="K10" s="4"/>
      <c r="L10" s="4"/>
      <c r="M10" s="4"/>
      <c r="N10" s="4"/>
      <c r="O10" s="4"/>
      <c r="P10" s="4"/>
      <c r="Q10" s="4"/>
      <c r="R10" s="4"/>
      <c r="S10" s="4"/>
      <c r="T10" s="4"/>
      <c r="U10" s="4"/>
      <c r="V10" s="4"/>
      <c r="W10" s="4"/>
      <c r="X10" s="4"/>
      <c r="Y10" s="4"/>
      <c r="Z10" s="4"/>
    </row>
    <row r="11" spans="1:26">
      <c r="A11" s="87" t="s">
        <v>149</v>
      </c>
      <c r="B11" s="88">
        <f>Assumptions!C30</f>
        <v>0</v>
      </c>
      <c r="C11" s="4"/>
      <c r="D11" s="4"/>
      <c r="E11" s="4"/>
      <c r="F11" s="4"/>
      <c r="G11" s="4"/>
      <c r="H11" s="4"/>
      <c r="I11" s="4"/>
      <c r="J11" s="4"/>
      <c r="K11" s="4"/>
      <c r="L11" s="4"/>
      <c r="M11" s="4"/>
      <c r="N11" s="4"/>
      <c r="O11" s="4"/>
      <c r="P11" s="4"/>
      <c r="Q11" s="4"/>
      <c r="R11" s="4"/>
      <c r="S11" s="4"/>
      <c r="T11" s="4"/>
      <c r="U11" s="4"/>
      <c r="V11" s="4"/>
      <c r="W11" s="4"/>
      <c r="X11" s="4"/>
      <c r="Y11" s="4"/>
      <c r="Z11" s="4"/>
    </row>
    <row r="12" spans="1:26">
      <c r="A12" s="87" t="s">
        <v>150</v>
      </c>
      <c r="B12" s="88">
        <f>Assumptions!C33</f>
        <v>122625</v>
      </c>
      <c r="C12" s="4"/>
      <c r="D12" s="4"/>
      <c r="E12" s="4"/>
      <c r="F12" s="4"/>
      <c r="G12" s="4"/>
      <c r="H12" s="4"/>
      <c r="I12" s="4"/>
      <c r="J12" s="4"/>
      <c r="K12" s="4"/>
      <c r="L12" s="4"/>
      <c r="M12" s="4"/>
      <c r="N12" s="4"/>
      <c r="O12" s="4"/>
      <c r="P12" s="4"/>
      <c r="Q12" s="4"/>
      <c r="R12" s="4"/>
      <c r="S12" s="4"/>
      <c r="T12" s="4"/>
      <c r="U12" s="4"/>
      <c r="V12" s="4"/>
      <c r="W12" s="4"/>
      <c r="X12" s="4"/>
      <c r="Y12" s="4"/>
      <c r="Z12" s="4"/>
    </row>
    <row r="13" spans="1:26">
      <c r="A13" s="87" t="s">
        <v>151</v>
      </c>
      <c r="B13" s="88">
        <f>Assumptions!C32</f>
        <v>86400</v>
      </c>
      <c r="C13" s="4"/>
      <c r="D13" s="4"/>
      <c r="E13" s="4"/>
      <c r="F13" s="4"/>
      <c r="G13" s="4"/>
      <c r="H13" s="4"/>
      <c r="I13" s="4"/>
      <c r="J13" s="4"/>
      <c r="K13" s="4"/>
      <c r="L13" s="4"/>
      <c r="M13" s="4"/>
      <c r="N13" s="4"/>
      <c r="O13" s="4"/>
      <c r="P13" s="4"/>
      <c r="Q13" s="4"/>
      <c r="R13" s="4"/>
      <c r="S13" s="4"/>
      <c r="T13" s="4"/>
      <c r="U13" s="4"/>
      <c r="V13" s="4"/>
      <c r="W13" s="4"/>
      <c r="X13" s="4"/>
      <c r="Y13" s="4"/>
      <c r="Z13" s="4"/>
    </row>
    <row r="14" spans="1:26">
      <c r="A14" s="87" t="s">
        <v>152</v>
      </c>
      <c r="B14" s="88">
        <f>Assumptions!C35</f>
        <v>0</v>
      </c>
      <c r="C14" s="4"/>
      <c r="D14" s="4"/>
      <c r="E14" s="4"/>
      <c r="F14" s="4"/>
      <c r="G14" s="4"/>
      <c r="H14" s="4"/>
      <c r="I14" s="4"/>
      <c r="J14" s="4"/>
      <c r="K14" s="4"/>
      <c r="L14" s="4"/>
      <c r="M14" s="4"/>
      <c r="N14" s="4"/>
      <c r="O14" s="4"/>
      <c r="P14" s="4"/>
      <c r="Q14" s="4"/>
      <c r="R14" s="4"/>
      <c r="S14" s="4"/>
      <c r="T14" s="4"/>
      <c r="U14" s="4"/>
      <c r="V14" s="4"/>
      <c r="W14" s="4"/>
      <c r="X14" s="4"/>
      <c r="Y14" s="4"/>
      <c r="Z14" s="4"/>
    </row>
    <row r="15" spans="1:26">
      <c r="A15" s="87" t="s">
        <v>153</v>
      </c>
      <c r="B15" s="89">
        <f>Assumptions!C34</f>
        <v>0</v>
      </c>
      <c r="C15" s="4"/>
      <c r="D15" s="4"/>
      <c r="E15" s="4"/>
      <c r="F15" s="4"/>
      <c r="G15" s="4"/>
      <c r="H15" s="4"/>
      <c r="I15" s="4"/>
      <c r="J15" s="4"/>
      <c r="K15" s="4"/>
      <c r="L15" s="4"/>
      <c r="M15" s="4"/>
      <c r="N15" s="4"/>
      <c r="O15" s="4"/>
      <c r="P15" s="4"/>
      <c r="Q15" s="4"/>
      <c r="R15" s="4"/>
      <c r="S15" s="4"/>
      <c r="T15" s="4"/>
      <c r="U15" s="4"/>
      <c r="V15" s="4"/>
      <c r="W15" s="4"/>
      <c r="X15" s="4"/>
      <c r="Y15" s="4"/>
      <c r="Z15" s="4"/>
    </row>
    <row r="16" spans="1:26">
      <c r="A16" s="85" t="s">
        <v>154</v>
      </c>
      <c r="B16" s="90">
        <f>SUM(B8:B15)</f>
        <v>690925</v>
      </c>
      <c r="C16" s="4"/>
      <c r="D16" s="4"/>
      <c r="E16" s="4"/>
      <c r="F16" s="4"/>
      <c r="G16" s="4"/>
      <c r="H16" s="4"/>
      <c r="I16" s="4"/>
      <c r="J16" s="4"/>
      <c r="K16" s="4"/>
      <c r="L16" s="4"/>
      <c r="M16" s="4"/>
      <c r="N16" s="4"/>
      <c r="O16" s="4"/>
      <c r="P16" s="4"/>
      <c r="Q16" s="4"/>
      <c r="R16" s="4"/>
      <c r="S16" s="4"/>
      <c r="T16" s="4"/>
      <c r="U16" s="4"/>
      <c r="V16" s="4"/>
      <c r="W16" s="4"/>
      <c r="X16" s="4"/>
      <c r="Y16" s="4"/>
      <c r="Z16" s="4"/>
    </row>
    <row r="17" spans="1:26">
      <c r="A17" s="87"/>
      <c r="B17" s="88"/>
      <c r="C17" s="4"/>
      <c r="D17" s="4"/>
      <c r="E17" s="4"/>
      <c r="F17" s="4"/>
      <c r="G17" s="4"/>
      <c r="H17" s="4"/>
      <c r="I17" s="4"/>
      <c r="J17" s="4"/>
      <c r="K17" s="4"/>
      <c r="L17" s="4"/>
      <c r="M17" s="4"/>
      <c r="N17" s="4"/>
      <c r="O17" s="4"/>
      <c r="P17" s="4"/>
      <c r="Q17" s="4"/>
      <c r="R17" s="4"/>
      <c r="S17" s="4"/>
      <c r="T17" s="4"/>
      <c r="U17" s="4"/>
      <c r="V17" s="4"/>
      <c r="W17" s="4"/>
      <c r="X17" s="4"/>
      <c r="Y17" s="4"/>
      <c r="Z17" s="4"/>
    </row>
    <row r="18" spans="1:26">
      <c r="A18" s="85" t="s">
        <v>155</v>
      </c>
      <c r="B18" s="88"/>
      <c r="C18" s="4"/>
      <c r="D18" s="4"/>
      <c r="E18" s="4"/>
      <c r="F18" s="4"/>
      <c r="G18" s="4"/>
      <c r="H18" s="4"/>
      <c r="I18" s="4"/>
      <c r="J18" s="4"/>
      <c r="K18" s="4"/>
      <c r="L18" s="4"/>
      <c r="M18" s="4"/>
      <c r="N18" s="4"/>
      <c r="O18" s="4"/>
      <c r="P18" s="4"/>
      <c r="Q18" s="4"/>
      <c r="R18" s="4"/>
      <c r="S18" s="4"/>
      <c r="T18" s="4"/>
      <c r="U18" s="4"/>
      <c r="V18" s="4"/>
      <c r="W18" s="4"/>
      <c r="X18" s="4"/>
      <c r="Y18" s="4"/>
      <c r="Z18" s="4"/>
    </row>
    <row r="19" spans="1:26">
      <c r="A19" s="87" t="s">
        <v>156</v>
      </c>
      <c r="B19" s="88">
        <f>ROUND(Assumptions!C27*Assumptions!C22,0)</f>
        <v>3598555</v>
      </c>
      <c r="C19" s="4"/>
      <c r="D19" s="4"/>
      <c r="E19" s="4"/>
      <c r="F19" s="4"/>
      <c r="G19" s="4"/>
      <c r="H19" s="4"/>
      <c r="I19" s="4"/>
      <c r="J19" s="4"/>
      <c r="K19" s="4"/>
      <c r="L19" s="4"/>
      <c r="M19" s="4"/>
      <c r="N19" s="4"/>
      <c r="O19" s="4"/>
      <c r="P19" s="4"/>
      <c r="Q19" s="4"/>
      <c r="R19" s="4"/>
      <c r="S19" s="4"/>
      <c r="T19" s="4"/>
      <c r="U19" s="4"/>
      <c r="V19" s="4"/>
      <c r="W19" s="4"/>
      <c r="X19" s="4"/>
      <c r="Y19" s="4"/>
      <c r="Z19" s="4"/>
    </row>
    <row r="20" spans="1:26">
      <c r="A20" s="87" t="s">
        <v>157</v>
      </c>
      <c r="B20" s="88">
        <f>ROUND(Assumptions!C36*Assumptions!C21,0)</f>
        <v>120000</v>
      </c>
      <c r="C20" s="4"/>
      <c r="D20" s="4"/>
      <c r="E20" s="4"/>
      <c r="F20" s="4"/>
      <c r="G20" s="4"/>
      <c r="H20" s="4"/>
      <c r="I20" s="4"/>
      <c r="J20" s="4"/>
      <c r="K20" s="4"/>
      <c r="L20" s="4"/>
      <c r="M20" s="4"/>
      <c r="N20" s="4"/>
      <c r="O20" s="4"/>
      <c r="P20" s="4"/>
      <c r="Q20" s="4"/>
      <c r="R20" s="4"/>
      <c r="S20" s="4"/>
      <c r="T20" s="4"/>
      <c r="U20" s="4"/>
      <c r="V20" s="4"/>
      <c r="W20" s="4"/>
      <c r="X20" s="4"/>
      <c r="Y20" s="4"/>
      <c r="Z20" s="4"/>
    </row>
    <row r="21" spans="1:26">
      <c r="A21" s="87" t="s">
        <v>158</v>
      </c>
      <c r="B21" s="89">
        <f>Assumptions!C38</f>
        <v>0</v>
      </c>
      <c r="C21" s="4"/>
      <c r="D21" s="4"/>
      <c r="E21" s="4"/>
      <c r="F21" s="4"/>
      <c r="G21" s="4"/>
      <c r="H21" s="4"/>
      <c r="I21" s="4"/>
      <c r="J21" s="4"/>
      <c r="K21" s="4"/>
      <c r="L21" s="4"/>
      <c r="M21" s="4"/>
      <c r="N21" s="4"/>
      <c r="O21" s="4"/>
      <c r="P21" s="4"/>
      <c r="Q21" s="4"/>
      <c r="R21" s="4"/>
      <c r="S21" s="4"/>
      <c r="T21" s="4"/>
      <c r="U21" s="4"/>
      <c r="V21" s="4"/>
      <c r="W21" s="4"/>
      <c r="X21" s="4"/>
      <c r="Y21" s="4"/>
      <c r="Z21" s="4"/>
    </row>
    <row r="22" spans="1:26">
      <c r="A22" s="85" t="s">
        <v>159</v>
      </c>
      <c r="B22" s="90">
        <f>SUM(B19:B21)</f>
        <v>3718555</v>
      </c>
      <c r="C22" s="4"/>
      <c r="D22" s="4"/>
      <c r="E22" s="4"/>
      <c r="F22" s="4"/>
      <c r="G22" s="4"/>
      <c r="H22" s="4"/>
      <c r="I22" s="4"/>
      <c r="J22" s="4"/>
      <c r="K22" s="4"/>
      <c r="L22" s="4"/>
      <c r="M22" s="4"/>
      <c r="N22" s="4"/>
      <c r="O22" s="4"/>
      <c r="P22" s="4"/>
      <c r="Q22" s="4"/>
      <c r="R22" s="4"/>
      <c r="S22" s="4"/>
      <c r="T22" s="4"/>
      <c r="U22" s="4"/>
      <c r="V22" s="4"/>
      <c r="W22" s="4"/>
      <c r="X22" s="4"/>
      <c r="Y22" s="4"/>
      <c r="Z22" s="4"/>
    </row>
    <row r="23" spans="1:26">
      <c r="A23" s="87"/>
      <c r="B23" s="88"/>
      <c r="C23" s="4"/>
      <c r="D23" s="4"/>
      <c r="E23" s="4"/>
      <c r="F23" s="4"/>
      <c r="G23" s="4"/>
      <c r="H23" s="4"/>
      <c r="I23" s="4"/>
      <c r="J23" s="4"/>
      <c r="K23" s="4"/>
      <c r="L23" s="4"/>
      <c r="M23" s="4"/>
      <c r="N23" s="4"/>
      <c r="O23" s="4"/>
      <c r="P23" s="4"/>
      <c r="Q23" s="4"/>
      <c r="R23" s="4"/>
      <c r="S23" s="4"/>
      <c r="T23" s="4"/>
      <c r="U23" s="4"/>
      <c r="V23" s="4"/>
      <c r="W23" s="4"/>
      <c r="X23" s="4"/>
      <c r="Y23" s="4"/>
      <c r="Z23" s="4"/>
    </row>
    <row r="24" spans="1:26">
      <c r="A24" s="85" t="s">
        <v>160</v>
      </c>
      <c r="B24" s="88"/>
      <c r="C24" s="4"/>
      <c r="D24" s="4"/>
      <c r="E24" s="4"/>
      <c r="F24" s="4"/>
      <c r="G24" s="4"/>
      <c r="H24" s="4"/>
      <c r="I24" s="4"/>
      <c r="J24" s="4"/>
      <c r="K24" s="4"/>
      <c r="L24" s="4"/>
      <c r="M24" s="4"/>
      <c r="N24" s="4"/>
      <c r="O24" s="4"/>
      <c r="P24" s="4"/>
      <c r="Q24" s="4"/>
      <c r="R24" s="4"/>
      <c r="S24" s="4"/>
      <c r="T24" s="4"/>
      <c r="U24" s="4"/>
      <c r="V24" s="4"/>
      <c r="W24" s="4"/>
      <c r="X24" s="4"/>
      <c r="Y24" s="4"/>
      <c r="Z24" s="4"/>
    </row>
    <row r="25" spans="1:26">
      <c r="A25" s="87" t="s">
        <v>161</v>
      </c>
      <c r="B25" s="89">
        <f>Assumptions!C37</f>
        <v>0</v>
      </c>
      <c r="C25" s="4"/>
      <c r="D25" s="4"/>
      <c r="E25" s="4"/>
      <c r="F25" s="4"/>
      <c r="G25" s="4"/>
      <c r="H25" s="4"/>
      <c r="I25" s="4"/>
      <c r="J25" s="4"/>
      <c r="K25" s="4"/>
      <c r="L25" s="4"/>
      <c r="M25" s="4"/>
      <c r="N25" s="4"/>
      <c r="O25" s="4"/>
      <c r="P25" s="4"/>
      <c r="Q25" s="4"/>
      <c r="R25" s="4"/>
      <c r="S25" s="4"/>
      <c r="T25" s="4"/>
      <c r="U25" s="4"/>
      <c r="V25" s="4"/>
      <c r="W25" s="4"/>
      <c r="X25" s="4"/>
      <c r="Y25" s="4"/>
      <c r="Z25" s="4"/>
    </row>
    <row r="26" spans="1:26">
      <c r="A26" s="85" t="s">
        <v>162</v>
      </c>
      <c r="B26" s="90">
        <f>SUM(B25)</f>
        <v>0</v>
      </c>
      <c r="C26" s="4"/>
      <c r="D26" s="4"/>
      <c r="E26" s="4"/>
      <c r="F26" s="4"/>
      <c r="G26" s="4"/>
      <c r="H26" s="4"/>
      <c r="I26" s="4"/>
      <c r="J26" s="4"/>
      <c r="K26" s="4"/>
      <c r="L26" s="4"/>
      <c r="M26" s="4"/>
      <c r="N26" s="4"/>
      <c r="O26" s="4"/>
      <c r="P26" s="4"/>
      <c r="Q26" s="4"/>
      <c r="R26" s="4"/>
      <c r="S26" s="4"/>
      <c r="T26" s="4"/>
      <c r="U26" s="4"/>
      <c r="V26" s="4"/>
      <c r="W26" s="4"/>
      <c r="X26" s="4"/>
      <c r="Y26" s="4"/>
      <c r="Z26" s="4"/>
    </row>
    <row r="27" spans="1:26">
      <c r="A27" s="85"/>
      <c r="B27" s="90"/>
      <c r="C27" s="4"/>
      <c r="D27" s="4"/>
      <c r="E27" s="4"/>
      <c r="F27" s="4"/>
      <c r="G27" s="4"/>
      <c r="H27" s="4"/>
      <c r="I27" s="4"/>
      <c r="J27" s="4"/>
      <c r="K27" s="4"/>
      <c r="L27" s="4"/>
      <c r="M27" s="4"/>
      <c r="N27" s="4"/>
      <c r="O27" s="4"/>
      <c r="P27" s="4"/>
      <c r="Q27" s="4"/>
      <c r="R27" s="4"/>
      <c r="S27" s="4"/>
      <c r="T27" s="4"/>
      <c r="U27" s="4"/>
      <c r="V27" s="4"/>
      <c r="W27" s="4"/>
      <c r="X27" s="4"/>
      <c r="Y27" s="4"/>
      <c r="Z27" s="4"/>
    </row>
    <row r="28" spans="1:26" ht="15.75">
      <c r="A28" s="91" t="s">
        <v>163</v>
      </c>
      <c r="B28" s="92">
        <f>SUM(B16,B22,B26)</f>
        <v>4409480</v>
      </c>
      <c r="C28" s="4"/>
      <c r="D28" s="4"/>
      <c r="E28" s="4"/>
      <c r="F28" s="4"/>
      <c r="G28" s="4"/>
      <c r="H28" s="4"/>
      <c r="I28" s="4"/>
      <c r="J28" s="4"/>
      <c r="K28" s="4"/>
      <c r="L28" s="4"/>
      <c r="M28" s="4"/>
      <c r="N28" s="4"/>
      <c r="O28" s="4"/>
      <c r="P28" s="4"/>
      <c r="Q28" s="4"/>
      <c r="R28" s="4"/>
      <c r="S28" s="4"/>
      <c r="T28" s="4"/>
      <c r="U28" s="4"/>
      <c r="V28" s="4"/>
      <c r="W28" s="93">
        <f>(Assumptions!C27*Assumptions!C22+Assumptions!C28*Assumptions!C21+Assumptions!C36*Assumptions!C22+Assumptions!C29+Assumptions!C30+Assumptions!C31+Assumptions!C32+Assumptions!C33+Assumptions!C34+Assumptions!C35+Assumptions!C37+Assumptions!C38)-'Year 0'!$B$28</f>
        <v>4412080.1999999993</v>
      </c>
      <c r="X28" s="4" t="s">
        <v>164</v>
      </c>
      <c r="Y28" s="4"/>
      <c r="Z28" s="4"/>
    </row>
    <row r="29" spans="1:26">
      <c r="A29" s="4"/>
      <c r="B29" s="88"/>
      <c r="C29" s="4"/>
      <c r="D29" s="4"/>
      <c r="E29" s="4"/>
      <c r="F29" s="4"/>
      <c r="G29" s="4"/>
      <c r="H29" s="4"/>
      <c r="I29" s="4"/>
      <c r="J29" s="4"/>
      <c r="K29" s="4"/>
      <c r="L29" s="4"/>
      <c r="M29" s="4"/>
      <c r="N29" s="4"/>
      <c r="O29" s="4"/>
      <c r="P29" s="4"/>
      <c r="Q29" s="4"/>
      <c r="R29" s="4"/>
      <c r="S29" s="4"/>
      <c r="T29" s="4"/>
      <c r="U29" s="4"/>
      <c r="V29" s="4"/>
      <c r="W29" s="4"/>
      <c r="X29" s="4"/>
      <c r="Y29" s="4"/>
      <c r="Z29" s="4"/>
    </row>
    <row r="30" spans="1:26" ht="18.75">
      <c r="A30" s="94" t="s">
        <v>165</v>
      </c>
      <c r="B30" s="95"/>
      <c r="C30" s="4"/>
      <c r="D30" s="4"/>
      <c r="E30" s="4"/>
      <c r="F30" s="4"/>
      <c r="G30" s="4"/>
      <c r="H30" s="4"/>
      <c r="I30" s="4"/>
      <c r="J30" s="4"/>
      <c r="K30" s="4"/>
      <c r="L30" s="4"/>
      <c r="M30" s="4"/>
      <c r="N30" s="4"/>
      <c r="O30" s="4"/>
      <c r="P30" s="4"/>
      <c r="Q30" s="4"/>
      <c r="R30" s="4"/>
      <c r="S30" s="4"/>
      <c r="T30" s="4"/>
      <c r="U30" s="4"/>
      <c r="V30" s="4"/>
      <c r="W30" s="4"/>
      <c r="X30" s="4"/>
      <c r="Y30" s="4"/>
      <c r="Z30" s="4"/>
    </row>
    <row r="31" spans="1:26">
      <c r="A31" s="85" t="s">
        <v>166</v>
      </c>
      <c r="B31" s="88"/>
      <c r="C31" s="4"/>
      <c r="D31" s="4"/>
      <c r="E31" s="4"/>
      <c r="F31" s="4"/>
      <c r="G31" s="4"/>
      <c r="H31" s="4"/>
      <c r="I31" s="4"/>
      <c r="J31" s="4"/>
      <c r="K31" s="4"/>
      <c r="L31" s="4"/>
      <c r="M31" s="4"/>
      <c r="N31" s="4"/>
      <c r="O31" s="4"/>
      <c r="P31" s="4"/>
      <c r="Q31" s="4"/>
      <c r="R31" s="4"/>
      <c r="S31" s="4"/>
      <c r="T31" s="4"/>
      <c r="U31" s="4"/>
      <c r="V31" s="4"/>
      <c r="W31" s="4"/>
      <c r="X31" s="4"/>
      <c r="Y31" s="4"/>
      <c r="Z31" s="4"/>
    </row>
    <row r="32" spans="1:26">
      <c r="A32" s="87" t="s">
        <v>167</v>
      </c>
      <c r="B32" s="88">
        <f>Assumptions!C41</f>
        <v>1133000</v>
      </c>
      <c r="C32" s="4"/>
      <c r="D32" s="4"/>
      <c r="E32" s="4"/>
      <c r="F32" s="4"/>
      <c r="G32" s="4"/>
      <c r="H32" s="4"/>
      <c r="I32" s="4"/>
      <c r="J32" s="4"/>
      <c r="K32" s="4"/>
      <c r="L32" s="4"/>
      <c r="M32" s="4"/>
      <c r="N32" s="4"/>
      <c r="O32" s="4"/>
      <c r="P32" s="4"/>
      <c r="Q32" s="4"/>
      <c r="R32" s="4"/>
      <c r="S32" s="4"/>
      <c r="T32" s="4"/>
      <c r="U32" s="4"/>
      <c r="V32" s="4"/>
      <c r="W32" s="4"/>
      <c r="X32" s="4"/>
      <c r="Y32" s="4"/>
      <c r="Z32" s="4"/>
    </row>
    <row r="33" spans="1:26">
      <c r="A33" s="87" t="s">
        <v>168</v>
      </c>
      <c r="B33" s="89">
        <f>Assumptions!C42</f>
        <v>58000</v>
      </c>
      <c r="C33" s="4"/>
      <c r="D33" s="4"/>
      <c r="E33" s="4"/>
      <c r="F33" s="4"/>
      <c r="G33" s="4"/>
      <c r="H33" s="4"/>
      <c r="I33" s="4"/>
      <c r="J33" s="4"/>
      <c r="K33" s="4"/>
      <c r="L33" s="4"/>
      <c r="M33" s="4"/>
      <c r="N33" s="4"/>
      <c r="O33" s="4"/>
      <c r="P33" s="4"/>
      <c r="Q33" s="4"/>
      <c r="R33" s="4"/>
      <c r="S33" s="4"/>
      <c r="T33" s="4"/>
      <c r="U33" s="4"/>
      <c r="V33" s="4"/>
      <c r="W33" s="4"/>
      <c r="X33" s="4"/>
      <c r="Y33" s="4"/>
      <c r="Z33" s="4"/>
    </row>
    <row r="34" spans="1:26">
      <c r="A34" s="85" t="s">
        <v>169</v>
      </c>
      <c r="B34" s="90">
        <f>SUM(B32:B33)</f>
        <v>1191000</v>
      </c>
      <c r="C34" s="4"/>
      <c r="D34" s="4"/>
      <c r="E34" s="4"/>
      <c r="F34" s="4"/>
      <c r="G34" s="4"/>
      <c r="H34" s="4"/>
      <c r="I34" s="4"/>
      <c r="J34" s="4"/>
      <c r="K34" s="4"/>
      <c r="L34" s="4"/>
      <c r="M34" s="4"/>
      <c r="N34" s="4"/>
      <c r="O34" s="4"/>
      <c r="P34" s="4"/>
      <c r="Q34" s="4"/>
      <c r="R34" s="4"/>
      <c r="S34" s="4"/>
      <c r="T34" s="4"/>
      <c r="U34" s="4"/>
      <c r="V34" s="4"/>
      <c r="W34" s="4"/>
      <c r="X34" s="4"/>
      <c r="Y34" s="4"/>
      <c r="Z34" s="4"/>
    </row>
    <row r="35" spans="1:26">
      <c r="A35" s="85" t="s">
        <v>170</v>
      </c>
      <c r="B35" s="88"/>
      <c r="C35" s="4"/>
      <c r="D35" s="4"/>
      <c r="E35" s="4"/>
      <c r="F35" s="4"/>
      <c r="G35" s="4"/>
      <c r="H35" s="4"/>
      <c r="I35" s="4"/>
      <c r="J35" s="4"/>
      <c r="K35" s="4"/>
      <c r="L35" s="4"/>
      <c r="M35" s="4"/>
      <c r="N35" s="4"/>
      <c r="O35" s="4"/>
      <c r="P35" s="4"/>
      <c r="Q35" s="4"/>
      <c r="R35" s="4"/>
      <c r="S35" s="4"/>
      <c r="T35" s="4"/>
      <c r="U35" s="4"/>
      <c r="V35" s="4"/>
      <c r="W35" s="4"/>
      <c r="X35" s="4"/>
      <c r="Y35" s="4"/>
      <c r="Z35" s="4"/>
    </row>
    <row r="36" spans="1:26">
      <c r="A36" s="87" t="s">
        <v>9</v>
      </c>
      <c r="B36" s="88">
        <f>Assumptions!C46</f>
        <v>205000</v>
      </c>
      <c r="C36" s="4"/>
      <c r="D36" s="4"/>
      <c r="E36" s="4"/>
      <c r="F36" s="4"/>
      <c r="G36" s="4"/>
      <c r="H36" s="4"/>
      <c r="I36" s="4"/>
      <c r="J36" s="4"/>
      <c r="K36" s="4"/>
      <c r="L36" s="4"/>
      <c r="M36" s="4"/>
      <c r="N36" s="4"/>
      <c r="O36" s="4"/>
      <c r="P36" s="4"/>
      <c r="Q36" s="4"/>
      <c r="R36" s="4"/>
      <c r="S36" s="4"/>
      <c r="T36" s="4"/>
      <c r="U36" s="4"/>
      <c r="V36" s="4"/>
      <c r="W36" s="4"/>
      <c r="X36" s="4"/>
      <c r="Y36" s="4"/>
      <c r="Z36" s="4"/>
    </row>
    <row r="37" spans="1:26">
      <c r="A37" s="87" t="s">
        <v>171</v>
      </c>
      <c r="B37" s="88">
        <f>Assumptions!C47</f>
        <v>0</v>
      </c>
      <c r="C37" s="4"/>
      <c r="D37" s="4"/>
      <c r="E37" s="4"/>
      <c r="F37" s="4"/>
      <c r="G37" s="4"/>
      <c r="H37" s="4"/>
      <c r="I37" s="4"/>
      <c r="J37" s="4"/>
      <c r="K37" s="4"/>
      <c r="L37" s="4"/>
      <c r="M37" s="4"/>
      <c r="N37" s="4"/>
      <c r="O37" s="4"/>
      <c r="P37" s="4"/>
      <c r="Q37" s="4"/>
      <c r="R37" s="4"/>
      <c r="S37" s="4"/>
      <c r="T37" s="4"/>
      <c r="U37" s="4"/>
      <c r="V37" s="4"/>
      <c r="W37" s="4"/>
      <c r="X37" s="4"/>
      <c r="Y37" s="4"/>
      <c r="Z37" s="4"/>
    </row>
    <row r="38" spans="1:26">
      <c r="A38" s="87" t="s">
        <v>172</v>
      </c>
      <c r="B38" s="88">
        <f>Assumptions!C48</f>
        <v>15200</v>
      </c>
      <c r="C38" s="4"/>
      <c r="D38" s="4"/>
      <c r="E38" s="4"/>
      <c r="F38" s="4"/>
      <c r="G38" s="4"/>
      <c r="H38" s="4"/>
      <c r="I38" s="4"/>
      <c r="J38" s="4"/>
      <c r="K38" s="4"/>
      <c r="L38" s="4"/>
      <c r="M38" s="4"/>
      <c r="N38" s="4"/>
      <c r="O38" s="4"/>
      <c r="P38" s="4"/>
      <c r="Q38" s="4"/>
      <c r="R38" s="4"/>
      <c r="S38" s="4"/>
      <c r="T38" s="4"/>
      <c r="U38" s="4"/>
      <c r="V38" s="4"/>
      <c r="W38" s="4"/>
      <c r="X38" s="4"/>
      <c r="Y38" s="4"/>
      <c r="Z38" s="4"/>
    </row>
    <row r="39" spans="1:26">
      <c r="A39" s="87" t="s">
        <v>173</v>
      </c>
      <c r="B39" s="89">
        <f>Assumptions!C49</f>
        <v>147760</v>
      </c>
      <c r="C39" s="4"/>
      <c r="D39" s="4"/>
      <c r="E39" s="4"/>
      <c r="F39" s="4"/>
      <c r="G39" s="4"/>
      <c r="H39" s="4"/>
      <c r="I39" s="4"/>
      <c r="J39" s="4"/>
      <c r="K39" s="4"/>
      <c r="L39" s="4"/>
      <c r="M39" s="4"/>
      <c r="N39" s="4"/>
      <c r="O39" s="4"/>
      <c r="P39" s="4"/>
      <c r="Q39" s="4"/>
      <c r="R39" s="4"/>
      <c r="S39" s="4"/>
      <c r="T39" s="4"/>
      <c r="U39" s="4"/>
      <c r="V39" s="4"/>
      <c r="W39" s="4"/>
      <c r="X39" s="4"/>
      <c r="Y39" s="4"/>
      <c r="Z39" s="4"/>
    </row>
    <row r="40" spans="1:26">
      <c r="A40" s="85" t="s">
        <v>174</v>
      </c>
      <c r="B40" s="90">
        <f>SUM(B36:B39)</f>
        <v>367960</v>
      </c>
      <c r="C40" s="4"/>
      <c r="D40" s="4"/>
      <c r="E40" s="4"/>
      <c r="F40" s="4"/>
      <c r="G40" s="4"/>
      <c r="H40" s="4"/>
      <c r="I40" s="4"/>
      <c r="J40" s="4"/>
      <c r="K40" s="4"/>
      <c r="L40" s="4"/>
      <c r="M40" s="4"/>
      <c r="N40" s="4"/>
      <c r="O40" s="4"/>
      <c r="P40" s="4"/>
      <c r="Q40" s="4"/>
      <c r="R40" s="4"/>
      <c r="S40" s="4"/>
      <c r="T40" s="4"/>
      <c r="U40" s="4"/>
      <c r="V40" s="4"/>
      <c r="W40" s="4"/>
      <c r="X40" s="4"/>
      <c r="Y40" s="4"/>
      <c r="Z40" s="4"/>
    </row>
    <row r="41" spans="1:26">
      <c r="A41" s="85" t="s">
        <v>175</v>
      </c>
      <c r="B41" s="90"/>
      <c r="C41" s="4"/>
      <c r="D41" s="4"/>
      <c r="E41" s="4"/>
      <c r="F41" s="4"/>
      <c r="G41" s="4"/>
      <c r="H41" s="4"/>
      <c r="I41" s="4"/>
      <c r="J41" s="4"/>
      <c r="K41" s="4"/>
      <c r="L41" s="4"/>
      <c r="M41" s="4"/>
      <c r="N41" s="4"/>
      <c r="O41" s="4"/>
      <c r="P41" s="4"/>
      <c r="Q41" s="4"/>
      <c r="R41" s="4"/>
      <c r="S41" s="4"/>
      <c r="T41" s="4"/>
      <c r="U41" s="4"/>
      <c r="V41" s="4"/>
      <c r="W41" s="4"/>
      <c r="X41" s="4"/>
      <c r="Y41" s="4"/>
      <c r="Z41" s="4"/>
    </row>
    <row r="42" spans="1:26">
      <c r="A42" s="87" t="s">
        <v>176</v>
      </c>
      <c r="B42" s="88">
        <f>Assumptions!C53</f>
        <v>15000</v>
      </c>
      <c r="C42" s="4"/>
      <c r="D42" s="4"/>
      <c r="E42" s="4"/>
      <c r="F42" s="4"/>
      <c r="G42" s="4"/>
      <c r="H42" s="4"/>
      <c r="I42" s="4"/>
      <c r="J42" s="4"/>
      <c r="K42" s="4"/>
      <c r="L42" s="4"/>
      <c r="M42" s="4"/>
      <c r="N42" s="4"/>
      <c r="O42" s="4"/>
      <c r="P42" s="4"/>
      <c r="Q42" s="4"/>
      <c r="R42" s="4"/>
      <c r="S42" s="4"/>
      <c r="T42" s="4"/>
      <c r="U42" s="4"/>
      <c r="V42" s="4"/>
      <c r="W42" s="4"/>
      <c r="X42" s="4"/>
      <c r="Y42" s="4"/>
      <c r="Z42" s="4"/>
    </row>
    <row r="43" spans="1:26">
      <c r="A43" s="87" t="s">
        <v>177</v>
      </c>
      <c r="B43" s="88">
        <f>Assumptions!C54</f>
        <v>31500</v>
      </c>
      <c r="C43" s="4"/>
      <c r="D43" s="4"/>
      <c r="E43" s="4"/>
      <c r="F43" s="4"/>
      <c r="G43" s="4"/>
      <c r="H43" s="4"/>
      <c r="I43" s="4"/>
      <c r="J43" s="4"/>
      <c r="K43" s="4"/>
      <c r="L43" s="4"/>
      <c r="M43" s="4"/>
      <c r="N43" s="4"/>
      <c r="O43" s="4"/>
      <c r="P43" s="4"/>
      <c r="Q43" s="4"/>
      <c r="R43" s="4"/>
      <c r="S43" s="4"/>
      <c r="T43" s="4"/>
      <c r="U43" s="4"/>
      <c r="V43" s="4"/>
      <c r="W43" s="4"/>
      <c r="X43" s="4"/>
      <c r="Y43" s="4"/>
      <c r="Z43" s="4"/>
    </row>
    <row r="44" spans="1:26">
      <c r="A44" s="87" t="s">
        <v>178</v>
      </c>
      <c r="B44" s="89">
        <f>Assumptions!C55*Assumptions!C57*Assumptions!C56</f>
        <v>24300</v>
      </c>
      <c r="C44" s="4"/>
      <c r="D44" s="4"/>
      <c r="E44" s="4"/>
      <c r="F44" s="4"/>
      <c r="G44" s="4"/>
      <c r="H44" s="4"/>
      <c r="I44" s="4"/>
      <c r="J44" s="4"/>
      <c r="K44" s="4"/>
      <c r="L44" s="4"/>
      <c r="M44" s="4"/>
      <c r="N44" s="4"/>
      <c r="O44" s="4"/>
      <c r="P44" s="4"/>
      <c r="Q44" s="4"/>
      <c r="R44" s="4"/>
      <c r="S44" s="4"/>
      <c r="T44" s="4"/>
      <c r="U44" s="4"/>
      <c r="V44" s="4"/>
      <c r="W44" s="4"/>
      <c r="X44" s="4"/>
      <c r="Y44" s="4"/>
      <c r="Z44" s="4"/>
    </row>
    <row r="45" spans="1:26">
      <c r="A45" s="85" t="s">
        <v>179</v>
      </c>
      <c r="B45" s="90">
        <f>SUM(B42:B44)</f>
        <v>70800</v>
      </c>
      <c r="C45" s="4"/>
      <c r="D45" s="4"/>
      <c r="E45" s="4"/>
      <c r="F45" s="4"/>
      <c r="G45" s="4"/>
      <c r="H45" s="4"/>
      <c r="I45" s="4"/>
      <c r="J45" s="4"/>
      <c r="K45" s="4"/>
      <c r="L45" s="4"/>
      <c r="M45" s="4"/>
      <c r="N45" s="4"/>
      <c r="O45" s="4"/>
      <c r="P45" s="4"/>
      <c r="Q45" s="4"/>
      <c r="R45" s="4"/>
      <c r="S45" s="4"/>
      <c r="T45" s="4"/>
      <c r="U45" s="4"/>
      <c r="V45" s="4"/>
      <c r="W45" s="96">
        <f>(Assumptions!C55*Assumptions!C56*Assumptions!C57+Assumptions!C54+Assumptions!C53+Assumptions!C49+Assumptions!C48+Assumptions!C47+Assumptions!C46+Assumptions!C42+Assumptions!C41)-$B$45-$B$40-$B$34</f>
        <v>0</v>
      </c>
      <c r="X45" s="4"/>
      <c r="Y45" s="4"/>
      <c r="Z45" s="4"/>
    </row>
    <row r="46" spans="1:26">
      <c r="A46" s="85" t="s">
        <v>180</v>
      </c>
      <c r="B46" s="88"/>
      <c r="C46" s="4"/>
      <c r="D46" s="4"/>
      <c r="E46" s="4"/>
      <c r="F46" s="4"/>
      <c r="G46" s="4"/>
      <c r="H46" s="4"/>
      <c r="I46" s="4"/>
      <c r="J46" s="4"/>
      <c r="K46" s="4"/>
      <c r="L46" s="4"/>
      <c r="M46" s="4"/>
      <c r="N46" s="4"/>
      <c r="O46" s="4"/>
      <c r="P46" s="4"/>
      <c r="Q46" s="4"/>
      <c r="R46" s="4"/>
      <c r="S46" s="4"/>
      <c r="T46" s="4"/>
      <c r="U46" s="4"/>
      <c r="V46" s="4"/>
      <c r="W46" s="4"/>
      <c r="X46" s="4"/>
      <c r="Y46" s="4"/>
      <c r="Z46" s="4"/>
    </row>
    <row r="47" spans="1:26">
      <c r="A47" s="87" t="s">
        <v>181</v>
      </c>
      <c r="B47" s="88">
        <f>ROUND((B34+B40+B45)*Assumptions!C60,0)</f>
        <v>328397</v>
      </c>
      <c r="C47" s="4"/>
      <c r="D47" s="78"/>
      <c r="E47" s="4"/>
      <c r="F47" s="78"/>
      <c r="G47" s="4"/>
      <c r="H47" s="4"/>
      <c r="I47" s="4"/>
      <c r="J47" s="4"/>
      <c r="K47" s="4"/>
      <c r="L47" s="4"/>
      <c r="M47" s="4"/>
      <c r="N47" s="4"/>
      <c r="O47" s="4"/>
      <c r="P47" s="4"/>
      <c r="Q47" s="4"/>
      <c r="R47" s="4"/>
      <c r="S47" s="4"/>
      <c r="T47" s="4"/>
      <c r="U47" s="4"/>
      <c r="V47" s="4"/>
      <c r="W47" s="4"/>
      <c r="X47" s="4"/>
      <c r="Y47" s="4"/>
      <c r="Z47" s="4"/>
    </row>
    <row r="48" spans="1:26">
      <c r="A48" s="87" t="s">
        <v>182</v>
      </c>
      <c r="B48" s="88">
        <f>ROUND((B34+B40+B45)*Assumptions!C61,0)</f>
        <v>23632</v>
      </c>
      <c r="C48" s="4"/>
      <c r="D48" s="4"/>
      <c r="E48" s="4"/>
      <c r="F48" s="4"/>
      <c r="G48" s="4"/>
      <c r="H48" s="4"/>
      <c r="I48" s="4"/>
      <c r="J48" s="4"/>
      <c r="K48" s="4"/>
      <c r="L48" s="4"/>
      <c r="M48" s="4"/>
      <c r="N48" s="4"/>
      <c r="O48" s="4"/>
      <c r="P48" s="4"/>
      <c r="Q48" s="4"/>
      <c r="R48" s="4"/>
      <c r="S48" s="4"/>
      <c r="T48" s="4"/>
      <c r="U48" s="4"/>
      <c r="V48" s="4"/>
      <c r="W48" s="4"/>
      <c r="X48" s="4"/>
      <c r="Y48" s="4"/>
      <c r="Z48" s="4"/>
    </row>
    <row r="49" spans="1:26">
      <c r="A49" s="87" t="s">
        <v>183</v>
      </c>
      <c r="B49" s="88">
        <f>ROUND((Assumptions!$C$43+Assumptions!$C$50)*Assumptions!C62,0)</f>
        <v>153180</v>
      </c>
      <c r="C49" s="4"/>
      <c r="D49" s="4"/>
      <c r="E49" s="4"/>
      <c r="F49" s="4"/>
      <c r="G49" s="4"/>
      <c r="H49" s="4"/>
      <c r="I49" s="4"/>
      <c r="J49" s="4"/>
      <c r="K49" s="4"/>
      <c r="L49" s="4"/>
      <c r="M49" s="4"/>
      <c r="N49" s="4"/>
      <c r="O49" s="4"/>
      <c r="P49" s="4"/>
      <c r="Q49" s="4"/>
      <c r="R49" s="4"/>
      <c r="S49" s="4"/>
      <c r="T49" s="4"/>
      <c r="U49" s="4"/>
      <c r="V49" s="4"/>
      <c r="W49" s="4"/>
      <c r="X49" s="4"/>
      <c r="Y49" s="4"/>
      <c r="Z49" s="4"/>
    </row>
    <row r="50" spans="1:26">
      <c r="A50" s="87" t="s">
        <v>184</v>
      </c>
      <c r="B50" s="88">
        <f>ROUND((Assumptions!$C$43+Assumptions!$C$50)*Assumptions!C63,0)</f>
        <v>9315</v>
      </c>
      <c r="C50" s="4"/>
      <c r="D50" s="4"/>
      <c r="E50" s="4"/>
      <c r="F50" s="4"/>
      <c r="G50" s="4"/>
      <c r="H50" s="4"/>
      <c r="I50" s="4"/>
      <c r="J50" s="4"/>
      <c r="K50" s="4"/>
      <c r="L50" s="4"/>
      <c r="M50" s="4"/>
      <c r="N50" s="4"/>
      <c r="O50" s="4"/>
      <c r="P50" s="4"/>
      <c r="Q50" s="4"/>
      <c r="R50" s="4"/>
      <c r="S50" s="4"/>
      <c r="T50" s="4"/>
      <c r="U50" s="4"/>
      <c r="V50" s="4"/>
      <c r="W50" s="4"/>
      <c r="X50" s="4"/>
      <c r="Y50" s="4"/>
      <c r="Z50" s="4"/>
    </row>
    <row r="51" spans="1:26">
      <c r="A51" s="87" t="s">
        <v>185</v>
      </c>
      <c r="B51" s="88">
        <f>ROUND((Assumptions!$C$43+Assumptions!$C$50)*Assumptions!C64,0)</f>
        <v>0</v>
      </c>
      <c r="C51" s="4"/>
      <c r="D51" s="4"/>
      <c r="E51" s="4"/>
      <c r="F51" s="4"/>
      <c r="G51" s="4"/>
      <c r="H51" s="4"/>
      <c r="I51" s="4"/>
      <c r="J51" s="4"/>
      <c r="K51" s="4"/>
      <c r="L51" s="4"/>
      <c r="M51" s="4"/>
      <c r="N51" s="4"/>
      <c r="O51" s="4"/>
      <c r="P51" s="4"/>
      <c r="Q51" s="4"/>
      <c r="R51" s="4"/>
      <c r="S51" s="4"/>
      <c r="T51" s="4"/>
      <c r="U51" s="4"/>
      <c r="V51" s="4"/>
      <c r="W51" s="4"/>
      <c r="X51" s="4"/>
      <c r="Y51" s="4"/>
      <c r="Z51" s="4"/>
    </row>
    <row r="52" spans="1:26">
      <c r="A52" s="65" t="s">
        <v>186</v>
      </c>
      <c r="B52" s="88">
        <f>ROUND((Assumptions!$C$43+Assumptions!$C$50)*Assumptions!C65,0)</f>
        <v>2070</v>
      </c>
      <c r="C52" s="4"/>
      <c r="D52" s="4"/>
      <c r="E52" s="4"/>
      <c r="F52" s="4"/>
      <c r="G52" s="4"/>
      <c r="H52" s="4"/>
      <c r="I52" s="4"/>
      <c r="J52" s="4"/>
      <c r="K52" s="4"/>
      <c r="L52" s="4"/>
      <c r="M52" s="4"/>
      <c r="N52" s="4"/>
      <c r="O52" s="4"/>
      <c r="P52" s="4"/>
      <c r="Q52" s="4"/>
      <c r="R52" s="4"/>
      <c r="S52" s="4"/>
      <c r="T52" s="4"/>
      <c r="U52" s="4"/>
      <c r="V52" s="4"/>
      <c r="W52" s="4"/>
      <c r="X52" s="4"/>
      <c r="Y52" s="4"/>
      <c r="Z52" s="4"/>
    </row>
    <row r="53" spans="1:26">
      <c r="A53" s="87" t="s">
        <v>33</v>
      </c>
      <c r="B53" s="89">
        <f>ROUND((Assumptions!$C$43+Assumptions!$C$50)*Assumptions!C66,0)</f>
        <v>0</v>
      </c>
      <c r="C53" s="4"/>
      <c r="D53" s="4"/>
      <c r="E53" s="4"/>
      <c r="F53" s="4"/>
      <c r="G53" s="4"/>
      <c r="H53" s="4"/>
      <c r="I53" s="4"/>
      <c r="J53" s="4"/>
      <c r="K53" s="4"/>
      <c r="L53" s="4"/>
      <c r="M53" s="4"/>
      <c r="N53" s="4"/>
      <c r="O53" s="4"/>
      <c r="P53" s="4"/>
      <c r="Q53" s="4"/>
      <c r="R53" s="4"/>
      <c r="S53" s="4"/>
      <c r="T53" s="4"/>
      <c r="U53" s="4"/>
      <c r="V53" s="4"/>
      <c r="W53" s="4"/>
      <c r="X53" s="4"/>
      <c r="Y53" s="4"/>
      <c r="Z53" s="4"/>
    </row>
    <row r="54" spans="1:26">
      <c r="A54" s="85" t="s">
        <v>266</v>
      </c>
      <c r="B54" s="98">
        <f>SUM(B47:B53)</f>
        <v>516594</v>
      </c>
      <c r="C54" s="4"/>
      <c r="D54" s="4"/>
      <c r="E54" s="4"/>
      <c r="F54" s="4"/>
      <c r="G54" s="4"/>
      <c r="H54" s="4"/>
      <c r="I54" s="4"/>
      <c r="J54" s="4"/>
      <c r="K54" s="4"/>
      <c r="L54" s="4"/>
      <c r="M54" s="4"/>
      <c r="N54" s="4"/>
      <c r="O54" s="4"/>
      <c r="P54" s="4"/>
      <c r="Q54" s="4"/>
      <c r="R54" s="4"/>
      <c r="S54" s="4"/>
      <c r="T54" s="4"/>
      <c r="U54" s="4"/>
      <c r="V54" s="4"/>
      <c r="W54" s="107">
        <f>((Assumptions!C43+Assumptions!C50)*Assumptions!C62+(Assumptions!C43+Assumptions!C50)*Assumptions!C63+(Assumptions!C43+Assumptions!C50)*Assumptions!C64+(Assumptions!C43+Assumptions!C50)*Assumptions!C65+(Assumptions!C43+Assumptions!C50)*Assumptions!C66)+((Assumptions!C55*Assumptions!C56*Assumptions!C57+Assumptions!C54+Assumptions!C53+Assumptions!C49+Assumptions!C48+Assumptions!C47+Assumptions!C46+Assumptions!C42+Assumptions!C41)*Assumptions!C60)+((Assumptions!C55*Assumptions!C56*Assumptions!C57+Assumptions!C54+Assumptions!C53+Assumptions!C49+Assumptions!C48+Assumptions!C47+Assumptions!C46+Assumptions!C42+Assumptions!C41)*Assumptions!C61)-B54</f>
        <v>-0.83999999996740371</v>
      </c>
      <c r="X54" s="4"/>
      <c r="Y54" s="4"/>
      <c r="Z54" s="4"/>
    </row>
    <row r="55" spans="1:26">
      <c r="A55" s="85" t="s">
        <v>188</v>
      </c>
      <c r="B55" s="90">
        <f>B34+B40+B54+B45</f>
        <v>2146354</v>
      </c>
      <c r="C55" s="4"/>
      <c r="D55" s="4"/>
      <c r="E55" s="4"/>
      <c r="F55" s="4"/>
      <c r="G55" s="4"/>
      <c r="H55" s="4"/>
      <c r="I55" s="4"/>
      <c r="J55" s="4"/>
      <c r="K55" s="4"/>
      <c r="L55" s="4"/>
      <c r="M55" s="4"/>
      <c r="N55" s="4"/>
      <c r="O55" s="4"/>
      <c r="P55" s="4"/>
      <c r="Q55" s="4"/>
      <c r="R55" s="4"/>
      <c r="S55" s="4"/>
      <c r="T55" s="4"/>
      <c r="U55" s="4"/>
      <c r="V55" s="4"/>
      <c r="W55" s="4"/>
      <c r="X55" s="4"/>
      <c r="Y55" s="4"/>
      <c r="Z55" s="4"/>
    </row>
    <row r="56" spans="1:26">
      <c r="A56" s="85"/>
      <c r="B56" s="90"/>
      <c r="C56" s="4"/>
      <c r="D56" s="4"/>
      <c r="E56" s="4"/>
      <c r="F56" s="4"/>
      <c r="G56" s="4"/>
      <c r="H56" s="4"/>
      <c r="I56" s="4"/>
      <c r="J56" s="4"/>
      <c r="K56" s="4"/>
      <c r="L56" s="4"/>
      <c r="M56" s="4"/>
      <c r="N56" s="4"/>
      <c r="O56" s="4"/>
      <c r="P56" s="4"/>
      <c r="Q56" s="4"/>
      <c r="R56" s="4"/>
      <c r="S56" s="4"/>
      <c r="T56" s="4"/>
      <c r="U56" s="4"/>
      <c r="V56" s="4"/>
      <c r="W56" s="4"/>
      <c r="X56" s="4"/>
      <c r="Y56" s="4"/>
      <c r="Z56" s="4"/>
    </row>
    <row r="57" spans="1:26">
      <c r="A57" s="85" t="s">
        <v>189</v>
      </c>
      <c r="B57" s="88"/>
      <c r="C57" s="4"/>
      <c r="D57" s="4"/>
      <c r="E57" s="4"/>
      <c r="F57" s="4"/>
      <c r="G57" s="4"/>
      <c r="H57" s="4"/>
      <c r="I57" s="4"/>
      <c r="J57" s="4"/>
      <c r="K57" s="4"/>
      <c r="L57" s="4"/>
      <c r="M57" s="4"/>
      <c r="N57" s="4"/>
      <c r="O57" s="4"/>
      <c r="P57" s="4"/>
      <c r="Q57" s="4"/>
      <c r="R57" s="4"/>
      <c r="S57" s="4"/>
      <c r="T57" s="4"/>
      <c r="U57" s="4"/>
      <c r="V57" s="4"/>
      <c r="W57" s="4"/>
      <c r="X57" s="4"/>
      <c r="Y57" s="4"/>
      <c r="Z57" s="4"/>
    </row>
    <row r="58" spans="1:26">
      <c r="A58" s="87" t="s">
        <v>58</v>
      </c>
      <c r="B58" s="88">
        <f>Assumptions!C69</f>
        <v>20755.2</v>
      </c>
      <c r="C58" s="4"/>
      <c r="D58" s="4"/>
      <c r="E58" s="4"/>
      <c r="F58" s="4"/>
      <c r="G58" s="4"/>
      <c r="H58" s="4"/>
      <c r="I58" s="4"/>
      <c r="J58" s="4"/>
      <c r="K58" s="4"/>
      <c r="L58" s="4"/>
      <c r="M58" s="4"/>
      <c r="N58" s="4"/>
      <c r="O58" s="4"/>
      <c r="P58" s="4"/>
      <c r="Q58" s="4"/>
      <c r="R58" s="4"/>
      <c r="S58" s="4"/>
      <c r="T58" s="4"/>
      <c r="U58" s="4"/>
      <c r="V58" s="4"/>
      <c r="W58" s="4"/>
      <c r="X58" s="4"/>
      <c r="Y58" s="4"/>
      <c r="Z58" s="4"/>
    </row>
    <row r="59" spans="1:26">
      <c r="A59" s="87" t="s">
        <v>59</v>
      </c>
      <c r="B59" s="88">
        <f>Assumptions!C70</f>
        <v>1776</v>
      </c>
      <c r="C59" s="4"/>
      <c r="D59" s="4"/>
      <c r="E59" s="4"/>
      <c r="F59" s="4"/>
      <c r="G59" s="4"/>
      <c r="H59" s="4"/>
      <c r="I59" s="4"/>
      <c r="J59" s="4"/>
      <c r="K59" s="4"/>
      <c r="L59" s="4"/>
      <c r="M59" s="4"/>
      <c r="N59" s="4"/>
      <c r="O59" s="4"/>
      <c r="P59" s="4"/>
      <c r="Q59" s="4"/>
      <c r="R59" s="4"/>
      <c r="S59" s="4"/>
      <c r="T59" s="4"/>
      <c r="U59" s="4"/>
      <c r="V59" s="4"/>
      <c r="W59" s="4"/>
      <c r="X59" s="4"/>
      <c r="Y59" s="4"/>
      <c r="Z59" s="4"/>
    </row>
    <row r="60" spans="1:26">
      <c r="A60" s="87" t="s">
        <v>190</v>
      </c>
      <c r="B60" s="88">
        <f>Assumptions!C71</f>
        <v>4291.2</v>
      </c>
      <c r="C60" s="4"/>
      <c r="D60" s="4"/>
      <c r="E60" s="4"/>
      <c r="F60" s="4"/>
      <c r="G60" s="4"/>
      <c r="H60" s="4"/>
      <c r="I60" s="4"/>
      <c r="J60" s="4"/>
      <c r="K60" s="4"/>
      <c r="L60" s="4"/>
      <c r="M60" s="4"/>
      <c r="N60" s="4"/>
      <c r="O60" s="4"/>
      <c r="P60" s="4"/>
      <c r="Q60" s="4"/>
      <c r="R60" s="4"/>
      <c r="S60" s="4"/>
      <c r="T60" s="4"/>
      <c r="U60" s="4"/>
      <c r="V60" s="4"/>
      <c r="W60" s="4"/>
      <c r="X60" s="4"/>
      <c r="Y60" s="4"/>
      <c r="Z60" s="4"/>
    </row>
    <row r="61" spans="1:26">
      <c r="A61" s="87" t="s">
        <v>191</v>
      </c>
      <c r="B61" s="88">
        <f>Assumptions!C72</f>
        <v>6960</v>
      </c>
      <c r="C61" s="4"/>
      <c r="D61" s="4"/>
      <c r="E61" s="4"/>
      <c r="F61" s="4"/>
      <c r="G61" s="4"/>
      <c r="H61" s="4"/>
      <c r="I61" s="4"/>
      <c r="J61" s="4"/>
      <c r="K61" s="4"/>
      <c r="L61" s="4"/>
      <c r="M61" s="4"/>
      <c r="N61" s="4"/>
      <c r="O61" s="4"/>
      <c r="P61" s="4"/>
      <c r="Q61" s="4"/>
      <c r="R61" s="4"/>
      <c r="S61" s="4"/>
      <c r="T61" s="4"/>
      <c r="U61" s="4"/>
      <c r="V61" s="4"/>
      <c r="W61" s="4"/>
      <c r="X61" s="4"/>
      <c r="Y61" s="4"/>
      <c r="Z61" s="4"/>
    </row>
    <row r="62" spans="1:26">
      <c r="A62" s="87" t="s">
        <v>62</v>
      </c>
      <c r="B62" s="88">
        <f>Assumptions!C73</f>
        <v>3715.2000000000003</v>
      </c>
      <c r="C62" s="4"/>
      <c r="D62" s="4"/>
      <c r="E62" s="4"/>
      <c r="F62" s="4"/>
      <c r="G62" s="4"/>
      <c r="H62" s="4"/>
      <c r="I62" s="4"/>
      <c r="J62" s="4"/>
      <c r="K62" s="4"/>
      <c r="L62" s="4"/>
      <c r="M62" s="4"/>
      <c r="N62" s="4"/>
      <c r="O62" s="4"/>
      <c r="P62" s="4"/>
      <c r="Q62" s="4"/>
      <c r="R62" s="4"/>
      <c r="S62" s="4"/>
      <c r="T62" s="4"/>
      <c r="U62" s="4"/>
      <c r="V62" s="4"/>
      <c r="W62" s="4"/>
      <c r="X62" s="4"/>
      <c r="Y62" s="4"/>
      <c r="Z62" s="4"/>
    </row>
    <row r="63" spans="1:26">
      <c r="A63" s="87" t="s">
        <v>63</v>
      </c>
      <c r="B63" s="88">
        <f>Assumptions!C74</f>
        <v>249.27975000000001</v>
      </c>
      <c r="C63" s="4"/>
      <c r="D63" s="4"/>
      <c r="E63" s="4"/>
      <c r="F63" s="4"/>
      <c r="G63" s="4"/>
      <c r="H63" s="4"/>
      <c r="I63" s="4"/>
      <c r="J63" s="4"/>
      <c r="K63" s="4"/>
      <c r="L63" s="4"/>
      <c r="M63" s="4"/>
      <c r="N63" s="4"/>
      <c r="O63" s="4"/>
      <c r="P63" s="4"/>
      <c r="Q63" s="4"/>
      <c r="R63" s="4"/>
      <c r="S63" s="4"/>
      <c r="T63" s="4"/>
      <c r="U63" s="4"/>
      <c r="V63" s="4"/>
      <c r="W63" s="4"/>
      <c r="X63" s="4"/>
      <c r="Y63" s="4"/>
      <c r="Z63" s="4"/>
    </row>
    <row r="64" spans="1:26">
      <c r="A64" s="87" t="s">
        <v>65</v>
      </c>
      <c r="B64" s="88">
        <f>Assumptions!C75</f>
        <v>0</v>
      </c>
      <c r="C64" s="4"/>
      <c r="D64" s="4"/>
      <c r="E64" s="4"/>
      <c r="F64" s="4"/>
      <c r="G64" s="4"/>
      <c r="H64" s="4"/>
      <c r="I64" s="4"/>
      <c r="J64" s="4"/>
      <c r="K64" s="4"/>
      <c r="L64" s="4"/>
      <c r="M64" s="4"/>
      <c r="N64" s="4"/>
      <c r="O64" s="4"/>
      <c r="P64" s="4"/>
      <c r="Q64" s="4"/>
      <c r="R64" s="4"/>
      <c r="S64" s="4"/>
      <c r="T64" s="4"/>
      <c r="U64" s="4"/>
      <c r="V64" s="4"/>
      <c r="W64" s="4"/>
      <c r="X64" s="4"/>
      <c r="Y64" s="4"/>
      <c r="Z64" s="4"/>
    </row>
    <row r="65" spans="1:26">
      <c r="A65" s="87" t="s">
        <v>192</v>
      </c>
      <c r="B65" s="88">
        <f>Assumptions!C76</f>
        <v>0</v>
      </c>
      <c r="C65" s="4"/>
      <c r="D65" s="4"/>
      <c r="E65" s="4"/>
      <c r="F65" s="4"/>
      <c r="G65" s="4"/>
      <c r="H65" s="4"/>
      <c r="I65" s="4"/>
      <c r="J65" s="4"/>
      <c r="K65" s="4"/>
      <c r="L65" s="4"/>
      <c r="M65" s="4"/>
      <c r="N65" s="4"/>
      <c r="O65" s="4"/>
      <c r="P65" s="4"/>
      <c r="Q65" s="4"/>
      <c r="R65" s="4"/>
      <c r="S65" s="4"/>
      <c r="T65" s="4"/>
      <c r="U65" s="4"/>
      <c r="V65" s="4"/>
      <c r="W65" s="4"/>
      <c r="X65" s="4"/>
      <c r="Y65" s="4"/>
      <c r="Z65" s="4"/>
    </row>
    <row r="66" spans="1:26">
      <c r="A66" s="87" t="s">
        <v>49</v>
      </c>
      <c r="B66" s="89">
        <f>Assumptions!C77</f>
        <v>150500</v>
      </c>
      <c r="C66" s="4"/>
      <c r="D66" s="4"/>
      <c r="E66" s="4"/>
      <c r="F66" s="4"/>
      <c r="G66" s="4"/>
      <c r="H66" s="4"/>
      <c r="I66" s="4"/>
      <c r="J66" s="4"/>
      <c r="K66" s="4"/>
      <c r="L66" s="4"/>
      <c r="M66" s="4"/>
      <c r="N66" s="4"/>
      <c r="O66" s="4"/>
      <c r="P66" s="4"/>
      <c r="Q66" s="4"/>
      <c r="R66" s="4"/>
      <c r="S66" s="4"/>
      <c r="T66" s="4"/>
      <c r="U66" s="4"/>
      <c r="V66" s="4"/>
      <c r="W66" s="4"/>
      <c r="X66" s="4"/>
      <c r="Y66" s="4"/>
      <c r="Z66" s="4"/>
    </row>
    <row r="67" spans="1:26">
      <c r="A67" s="85" t="s">
        <v>193</v>
      </c>
      <c r="B67" s="90">
        <f>SUM(B58:B66)</f>
        <v>188246.87974999999</v>
      </c>
      <c r="C67" s="4"/>
      <c r="D67" s="4"/>
      <c r="E67" s="4"/>
      <c r="F67" s="4"/>
      <c r="G67" s="4"/>
      <c r="H67" s="4"/>
      <c r="I67" s="4"/>
      <c r="J67" s="4"/>
      <c r="K67" s="4"/>
      <c r="L67" s="4"/>
      <c r="M67" s="4"/>
      <c r="N67" s="4"/>
      <c r="O67" s="4"/>
      <c r="P67" s="4"/>
      <c r="Q67" s="4"/>
      <c r="R67" s="4"/>
      <c r="S67" s="4"/>
      <c r="T67" s="4"/>
      <c r="U67" s="4"/>
      <c r="V67" s="4"/>
      <c r="W67" s="4"/>
      <c r="X67" s="4"/>
      <c r="Y67" s="4"/>
      <c r="Z67" s="4"/>
    </row>
    <row r="68" spans="1:26">
      <c r="A68" s="85"/>
      <c r="B68" s="90"/>
      <c r="C68" s="4"/>
      <c r="D68" s="4"/>
      <c r="E68" s="4"/>
      <c r="F68" s="4"/>
      <c r="G68" s="4"/>
      <c r="H68" s="4"/>
      <c r="I68" s="4"/>
      <c r="J68" s="4"/>
      <c r="K68" s="4"/>
      <c r="L68" s="4"/>
      <c r="M68" s="4"/>
      <c r="N68" s="4"/>
      <c r="O68" s="4"/>
      <c r="P68" s="4"/>
      <c r="Q68" s="4"/>
      <c r="R68" s="4"/>
      <c r="S68" s="4"/>
      <c r="T68" s="4"/>
      <c r="U68" s="4"/>
      <c r="V68" s="4"/>
      <c r="W68" s="4"/>
      <c r="X68" s="4"/>
      <c r="Y68" s="4"/>
      <c r="Z68" s="4"/>
    </row>
    <row r="69" spans="1:26">
      <c r="A69" s="85" t="s">
        <v>194</v>
      </c>
      <c r="B69" s="88"/>
      <c r="C69" s="4"/>
      <c r="D69" s="4"/>
      <c r="E69" s="4"/>
      <c r="F69" s="4"/>
      <c r="G69" s="4"/>
      <c r="H69" s="4"/>
      <c r="I69" s="4"/>
      <c r="J69" s="4"/>
      <c r="K69" s="4"/>
      <c r="L69" s="4"/>
      <c r="M69" s="4"/>
      <c r="N69" s="4"/>
      <c r="O69" s="4"/>
      <c r="P69" s="4"/>
      <c r="Q69" s="4"/>
      <c r="R69" s="4"/>
      <c r="S69" s="4"/>
      <c r="T69" s="4"/>
      <c r="U69" s="4"/>
      <c r="V69" s="4"/>
      <c r="W69" s="4"/>
      <c r="X69" s="4"/>
      <c r="Y69" s="4"/>
      <c r="Z69" s="4"/>
    </row>
    <row r="70" spans="1:26">
      <c r="A70" s="87" t="s">
        <v>70</v>
      </c>
      <c r="B70" s="88">
        <f>Assumptions!C80</f>
        <v>20000</v>
      </c>
      <c r="C70" s="4"/>
      <c r="D70" s="4"/>
      <c r="E70" s="4"/>
      <c r="F70" s="4"/>
      <c r="G70" s="4"/>
      <c r="H70" s="4"/>
      <c r="I70" s="4"/>
      <c r="J70" s="4"/>
      <c r="K70" s="4"/>
      <c r="L70" s="4"/>
      <c r="M70" s="4"/>
      <c r="N70" s="4"/>
      <c r="O70" s="4"/>
      <c r="P70" s="4"/>
      <c r="Q70" s="4"/>
      <c r="R70" s="4"/>
      <c r="S70" s="4"/>
      <c r="T70" s="4"/>
      <c r="U70" s="4"/>
      <c r="V70" s="4"/>
      <c r="W70" s="4"/>
      <c r="X70" s="4"/>
      <c r="Y70" s="4"/>
      <c r="Z70" s="4"/>
    </row>
    <row r="71" spans="1:26">
      <c r="A71" s="87" t="s">
        <v>72</v>
      </c>
      <c r="B71" s="88">
        <f>Assumptions!C81</f>
        <v>6600</v>
      </c>
      <c r="C71" s="4"/>
      <c r="D71" s="4"/>
      <c r="E71" s="4"/>
      <c r="F71" s="4"/>
      <c r="G71" s="4"/>
      <c r="H71" s="4"/>
      <c r="I71" s="4"/>
      <c r="J71" s="4"/>
      <c r="K71" s="4"/>
      <c r="L71" s="4"/>
      <c r="M71" s="4"/>
      <c r="N71" s="4"/>
      <c r="O71" s="4"/>
      <c r="P71" s="4"/>
      <c r="Q71" s="4"/>
      <c r="R71" s="4"/>
      <c r="S71" s="4"/>
      <c r="T71" s="4"/>
      <c r="U71" s="4"/>
      <c r="V71" s="4"/>
      <c r="W71" s="4"/>
      <c r="X71" s="4"/>
      <c r="Y71" s="4"/>
      <c r="Z71" s="4"/>
    </row>
    <row r="72" spans="1:26">
      <c r="A72" s="87" t="s">
        <v>73</v>
      </c>
      <c r="B72" s="88">
        <f>Assumptions!C82</f>
        <v>3000</v>
      </c>
      <c r="C72" s="4"/>
      <c r="D72" s="4"/>
      <c r="E72" s="4"/>
      <c r="F72" s="4"/>
      <c r="G72" s="4"/>
      <c r="H72" s="4"/>
      <c r="I72" s="4"/>
      <c r="J72" s="4"/>
      <c r="K72" s="4"/>
      <c r="L72" s="4"/>
      <c r="M72" s="4"/>
      <c r="N72" s="4"/>
      <c r="O72" s="4"/>
      <c r="P72" s="4"/>
      <c r="Q72" s="4"/>
      <c r="R72" s="4"/>
      <c r="S72" s="4"/>
      <c r="T72" s="4"/>
      <c r="U72" s="4"/>
      <c r="V72" s="4"/>
      <c r="W72" s="4"/>
      <c r="X72" s="4"/>
      <c r="Y72" s="4"/>
      <c r="Z72" s="4"/>
    </row>
    <row r="73" spans="1:26">
      <c r="A73" s="87" t="s">
        <v>75</v>
      </c>
      <c r="B73" s="88">
        <f>Assumptions!C83</f>
        <v>8000</v>
      </c>
      <c r="C73" s="4"/>
      <c r="D73" s="4"/>
      <c r="E73" s="4"/>
      <c r="F73" s="4"/>
      <c r="G73" s="4"/>
      <c r="H73" s="4"/>
      <c r="I73" s="4"/>
      <c r="J73" s="4"/>
      <c r="K73" s="4"/>
      <c r="L73" s="4"/>
      <c r="M73" s="4"/>
      <c r="N73" s="4"/>
      <c r="O73" s="4"/>
      <c r="P73" s="4"/>
      <c r="Q73" s="4"/>
      <c r="R73" s="4"/>
      <c r="S73" s="4"/>
      <c r="T73" s="4"/>
      <c r="U73" s="4"/>
      <c r="V73" s="4"/>
      <c r="W73" s="4"/>
      <c r="X73" s="4"/>
      <c r="Y73" s="4"/>
      <c r="Z73" s="4"/>
    </row>
    <row r="74" spans="1:26">
      <c r="A74" s="87" t="s">
        <v>76</v>
      </c>
      <c r="B74" s="89">
        <f>Assumptions!C84</f>
        <v>0</v>
      </c>
      <c r="C74" s="4"/>
      <c r="D74" s="4"/>
      <c r="E74" s="4"/>
      <c r="F74" s="4"/>
      <c r="G74" s="4"/>
      <c r="H74" s="4"/>
      <c r="I74" s="4"/>
      <c r="J74" s="4"/>
      <c r="K74" s="4"/>
      <c r="L74" s="4"/>
      <c r="M74" s="4"/>
      <c r="N74" s="4"/>
      <c r="O74" s="4"/>
      <c r="P74" s="4"/>
      <c r="Q74" s="4"/>
      <c r="R74" s="4"/>
      <c r="S74" s="4"/>
      <c r="T74" s="4"/>
      <c r="U74" s="4"/>
      <c r="V74" s="4"/>
      <c r="W74" s="4"/>
      <c r="X74" s="4"/>
      <c r="Y74" s="4"/>
      <c r="Z74" s="4"/>
    </row>
    <row r="75" spans="1:26">
      <c r="A75" s="85" t="s">
        <v>195</v>
      </c>
      <c r="B75" s="90">
        <f>SUM(B70:B74)</f>
        <v>37600</v>
      </c>
      <c r="C75" s="4"/>
      <c r="D75" s="4"/>
      <c r="E75" s="4"/>
      <c r="F75" s="4"/>
      <c r="G75" s="4"/>
      <c r="H75" s="4"/>
      <c r="I75" s="4"/>
      <c r="J75" s="4"/>
      <c r="K75" s="4"/>
      <c r="L75" s="4"/>
      <c r="M75" s="4"/>
      <c r="N75" s="4"/>
      <c r="O75" s="4"/>
      <c r="P75" s="4"/>
      <c r="Q75" s="4"/>
      <c r="R75" s="4"/>
      <c r="S75" s="4"/>
      <c r="T75" s="4"/>
      <c r="U75" s="4"/>
      <c r="V75" s="4"/>
      <c r="W75" s="4"/>
      <c r="X75" s="4"/>
      <c r="Y75" s="4"/>
      <c r="Z75" s="4"/>
    </row>
    <row r="76" spans="1:26">
      <c r="A76" s="85"/>
      <c r="B76" s="90"/>
      <c r="C76" s="4"/>
      <c r="D76" s="4"/>
      <c r="E76" s="4"/>
      <c r="F76" s="4"/>
      <c r="G76" s="4"/>
      <c r="H76" s="4"/>
      <c r="I76" s="4"/>
      <c r="J76" s="4"/>
      <c r="K76" s="4"/>
      <c r="L76" s="4"/>
      <c r="M76" s="4"/>
      <c r="N76" s="4"/>
      <c r="O76" s="4"/>
      <c r="P76" s="4"/>
      <c r="Q76" s="4"/>
      <c r="R76" s="4"/>
      <c r="S76" s="4"/>
      <c r="T76" s="4"/>
      <c r="U76" s="4"/>
      <c r="V76" s="4"/>
      <c r="W76" s="4"/>
      <c r="X76" s="4"/>
      <c r="Y76" s="4"/>
      <c r="Z76" s="4"/>
    </row>
    <row r="77" spans="1:26">
      <c r="A77" s="85" t="s">
        <v>196</v>
      </c>
      <c r="B77" s="88"/>
      <c r="C77" s="4"/>
      <c r="D77" s="4"/>
      <c r="E77" s="4"/>
      <c r="F77" s="4"/>
      <c r="G77" s="4"/>
      <c r="H77" s="4"/>
      <c r="I77" s="4"/>
      <c r="J77" s="4"/>
      <c r="K77" s="4"/>
      <c r="L77" s="4"/>
      <c r="M77" s="4"/>
      <c r="N77" s="4"/>
      <c r="O77" s="4"/>
      <c r="P77" s="4"/>
      <c r="Q77" s="4"/>
      <c r="R77" s="4"/>
      <c r="S77" s="4"/>
      <c r="T77" s="4"/>
      <c r="U77" s="4"/>
      <c r="V77" s="4"/>
      <c r="W77" s="4"/>
      <c r="X77" s="4"/>
      <c r="Y77" s="4"/>
      <c r="Z77" s="4"/>
    </row>
    <row r="78" spans="1:26">
      <c r="A78" s="87" t="s">
        <v>79</v>
      </c>
      <c r="B78" s="88">
        <f>Assumptions!C87</f>
        <v>0</v>
      </c>
      <c r="C78" s="4"/>
      <c r="D78" s="4"/>
      <c r="E78" s="4"/>
      <c r="F78" s="4"/>
      <c r="G78" s="4"/>
      <c r="H78" s="4"/>
      <c r="I78" s="4"/>
      <c r="J78" s="4"/>
      <c r="K78" s="4"/>
      <c r="L78" s="4"/>
      <c r="M78" s="4"/>
      <c r="N78" s="4"/>
      <c r="O78" s="4"/>
      <c r="P78" s="4"/>
      <c r="Q78" s="4"/>
      <c r="R78" s="4"/>
      <c r="S78" s="4"/>
      <c r="T78" s="4"/>
      <c r="U78" s="4"/>
      <c r="V78" s="4"/>
      <c r="W78" s="4"/>
      <c r="X78" s="4"/>
      <c r="Y78" s="4"/>
      <c r="Z78" s="4"/>
    </row>
    <row r="79" spans="1:26">
      <c r="A79" s="87" t="s">
        <v>82</v>
      </c>
      <c r="B79" s="89">
        <f>Assumptions!C88</f>
        <v>0</v>
      </c>
      <c r="C79" s="4"/>
      <c r="D79" s="4"/>
      <c r="E79" s="4"/>
      <c r="F79" s="4"/>
      <c r="G79" s="4"/>
      <c r="H79" s="4"/>
      <c r="I79" s="4"/>
      <c r="J79" s="4"/>
      <c r="K79" s="4"/>
      <c r="L79" s="4"/>
      <c r="M79" s="4"/>
      <c r="N79" s="4"/>
      <c r="O79" s="4"/>
      <c r="P79" s="4"/>
      <c r="Q79" s="4"/>
      <c r="R79" s="4"/>
      <c r="S79" s="4"/>
      <c r="T79" s="4"/>
      <c r="U79" s="4"/>
      <c r="V79" s="4"/>
      <c r="W79" s="4"/>
      <c r="X79" s="4"/>
      <c r="Y79" s="4"/>
      <c r="Z79" s="4"/>
    </row>
    <row r="80" spans="1:26">
      <c r="A80" s="85" t="s">
        <v>197</v>
      </c>
      <c r="B80" s="90">
        <f>SUM(B78:B79)</f>
        <v>0</v>
      </c>
      <c r="C80" s="4"/>
      <c r="D80" s="4"/>
      <c r="E80" s="4"/>
      <c r="F80" s="4"/>
      <c r="G80" s="4"/>
      <c r="H80" s="4"/>
      <c r="I80" s="4"/>
      <c r="J80" s="4"/>
      <c r="K80" s="4"/>
      <c r="L80" s="4"/>
      <c r="M80" s="4"/>
      <c r="N80" s="4"/>
      <c r="O80" s="4"/>
      <c r="P80" s="4"/>
      <c r="Q80" s="4"/>
      <c r="R80" s="4"/>
      <c r="S80" s="4"/>
      <c r="T80" s="4"/>
      <c r="U80" s="4"/>
      <c r="V80" s="4"/>
      <c r="W80" s="4"/>
      <c r="X80" s="4"/>
      <c r="Y80" s="4"/>
      <c r="Z80" s="4"/>
    </row>
    <row r="81" spans="1:26">
      <c r="A81" s="85"/>
      <c r="B81" s="90"/>
      <c r="C81" s="4"/>
      <c r="D81" s="4"/>
      <c r="E81" s="4"/>
      <c r="F81" s="4"/>
      <c r="G81" s="4"/>
      <c r="H81" s="4"/>
      <c r="I81" s="4"/>
      <c r="J81" s="4"/>
      <c r="K81" s="4"/>
      <c r="L81" s="4"/>
      <c r="M81" s="4"/>
      <c r="N81" s="4"/>
      <c r="O81" s="4"/>
      <c r="P81" s="4"/>
      <c r="Q81" s="4"/>
      <c r="R81" s="4"/>
      <c r="S81" s="4"/>
      <c r="T81" s="4"/>
      <c r="U81" s="4"/>
      <c r="V81" s="4"/>
      <c r="W81" s="4"/>
      <c r="X81" s="4"/>
      <c r="Y81" s="4"/>
      <c r="Z81" s="4"/>
    </row>
    <row r="82" spans="1:26">
      <c r="A82" s="85" t="s">
        <v>198</v>
      </c>
      <c r="B82" s="88"/>
      <c r="C82" s="4"/>
      <c r="D82" s="4"/>
      <c r="E82" s="4"/>
      <c r="F82" s="4"/>
      <c r="G82" s="4"/>
      <c r="H82" s="4"/>
      <c r="I82" s="4"/>
      <c r="J82" s="4"/>
      <c r="K82" s="4"/>
      <c r="L82" s="4"/>
      <c r="M82" s="4"/>
      <c r="N82" s="4"/>
      <c r="O82" s="4"/>
      <c r="P82" s="4"/>
      <c r="Q82" s="4"/>
      <c r="R82" s="4"/>
      <c r="S82" s="4"/>
      <c r="T82" s="4"/>
      <c r="U82" s="4"/>
      <c r="V82" s="4"/>
      <c r="W82" s="4"/>
      <c r="X82" s="4"/>
      <c r="Y82" s="4"/>
      <c r="Z82" s="4"/>
    </row>
    <row r="83" spans="1:26">
      <c r="A83" s="87" t="s">
        <v>84</v>
      </c>
      <c r="B83" s="88">
        <f>Assumptions!C91</f>
        <v>0</v>
      </c>
      <c r="C83" s="4"/>
      <c r="D83" s="4"/>
      <c r="E83" s="4"/>
      <c r="F83" s="4"/>
      <c r="G83" s="4"/>
      <c r="H83" s="4"/>
      <c r="I83" s="4"/>
      <c r="J83" s="4"/>
      <c r="K83" s="4"/>
      <c r="L83" s="4"/>
      <c r="M83" s="4"/>
      <c r="N83" s="4"/>
      <c r="O83" s="4"/>
      <c r="P83" s="4"/>
      <c r="Q83" s="4"/>
      <c r="R83" s="4"/>
      <c r="S83" s="4"/>
      <c r="T83" s="4"/>
      <c r="U83" s="4"/>
      <c r="V83" s="4"/>
      <c r="W83" s="4"/>
      <c r="X83" s="4"/>
      <c r="Y83" s="4"/>
      <c r="Z83" s="4"/>
    </row>
    <row r="84" spans="1:26">
      <c r="A84" s="87" t="s">
        <v>86</v>
      </c>
      <c r="B84" s="88">
        <f>Assumptions!C92</f>
        <v>0</v>
      </c>
      <c r="C84" s="4"/>
      <c r="D84" s="4"/>
      <c r="E84" s="4"/>
      <c r="F84" s="4"/>
      <c r="G84" s="4"/>
      <c r="H84" s="4"/>
      <c r="I84" s="4"/>
      <c r="J84" s="4"/>
      <c r="K84" s="4"/>
      <c r="L84" s="4"/>
      <c r="M84" s="4"/>
      <c r="N84" s="4"/>
      <c r="O84" s="4"/>
      <c r="P84" s="4"/>
      <c r="Q84" s="4"/>
      <c r="R84" s="4"/>
      <c r="S84" s="4"/>
      <c r="T84" s="4"/>
      <c r="U84" s="4"/>
      <c r="V84" s="4"/>
      <c r="W84" s="4"/>
      <c r="X84" s="4"/>
      <c r="Y84" s="4"/>
      <c r="Z84" s="4"/>
    </row>
    <row r="85" spans="1:26">
      <c r="A85" s="87" t="s">
        <v>90</v>
      </c>
      <c r="B85" s="89">
        <f>Assumptions!C93</f>
        <v>0</v>
      </c>
      <c r="C85" s="4"/>
      <c r="D85" s="4"/>
      <c r="E85" s="4"/>
      <c r="F85" s="4"/>
      <c r="G85" s="4"/>
      <c r="H85" s="4"/>
      <c r="I85" s="4"/>
      <c r="J85" s="4"/>
      <c r="K85" s="4"/>
      <c r="L85" s="4"/>
      <c r="M85" s="4"/>
      <c r="N85" s="4"/>
      <c r="O85" s="4"/>
      <c r="P85" s="4"/>
      <c r="Q85" s="4"/>
      <c r="R85" s="4"/>
      <c r="S85" s="4"/>
      <c r="T85" s="4"/>
      <c r="U85" s="4"/>
      <c r="V85" s="4"/>
      <c r="W85" s="4"/>
      <c r="X85" s="4"/>
      <c r="Y85" s="4"/>
      <c r="Z85" s="4"/>
    </row>
    <row r="86" spans="1:26">
      <c r="A86" s="85" t="s">
        <v>199</v>
      </c>
      <c r="B86" s="90">
        <f>SUM(B83:B85)</f>
        <v>0</v>
      </c>
      <c r="C86" s="4"/>
      <c r="D86" s="4"/>
      <c r="E86" s="4"/>
      <c r="F86" s="4"/>
      <c r="G86" s="4"/>
      <c r="H86" s="4"/>
      <c r="I86" s="4"/>
      <c r="J86" s="4"/>
      <c r="K86" s="4"/>
      <c r="L86" s="4"/>
      <c r="M86" s="4"/>
      <c r="N86" s="4"/>
      <c r="O86" s="4"/>
      <c r="P86" s="4"/>
      <c r="Q86" s="4"/>
      <c r="R86" s="4"/>
      <c r="S86" s="4"/>
      <c r="T86" s="4"/>
      <c r="U86" s="4"/>
      <c r="V86" s="4"/>
      <c r="W86" s="4"/>
      <c r="X86" s="4"/>
      <c r="Y86" s="4"/>
      <c r="Z86" s="4"/>
    </row>
    <row r="87" spans="1:26">
      <c r="A87" s="85"/>
      <c r="B87" s="90"/>
      <c r="C87" s="4"/>
      <c r="D87" s="4"/>
      <c r="E87" s="4"/>
      <c r="F87" s="4"/>
      <c r="G87" s="4"/>
      <c r="H87" s="4"/>
      <c r="I87" s="4"/>
      <c r="J87" s="4"/>
      <c r="K87" s="4"/>
      <c r="L87" s="4"/>
      <c r="M87" s="4"/>
      <c r="N87" s="4"/>
      <c r="O87" s="4"/>
      <c r="P87" s="4"/>
      <c r="Q87" s="4"/>
      <c r="R87" s="4"/>
      <c r="S87" s="4"/>
      <c r="T87" s="4"/>
      <c r="U87" s="4"/>
      <c r="V87" s="4"/>
      <c r="W87" s="4"/>
      <c r="X87" s="4"/>
      <c r="Y87" s="4"/>
      <c r="Z87" s="4"/>
    </row>
    <row r="88" spans="1:26">
      <c r="A88" s="85" t="s">
        <v>200</v>
      </c>
      <c r="B88" s="88"/>
      <c r="C88" s="4"/>
      <c r="D88" s="4"/>
      <c r="E88" s="4"/>
      <c r="F88" s="4"/>
      <c r="G88" s="4"/>
      <c r="H88" s="4"/>
      <c r="I88" s="4"/>
      <c r="J88" s="4"/>
      <c r="K88" s="4"/>
      <c r="L88" s="4"/>
      <c r="M88" s="4"/>
      <c r="N88" s="4"/>
      <c r="O88" s="4"/>
      <c r="P88" s="4"/>
      <c r="Q88" s="4"/>
      <c r="R88" s="4"/>
      <c r="S88" s="4"/>
      <c r="T88" s="4"/>
      <c r="U88" s="4"/>
      <c r="V88" s="4"/>
      <c r="W88" s="4"/>
      <c r="X88" s="4"/>
      <c r="Y88" s="4"/>
      <c r="Z88" s="4"/>
    </row>
    <row r="89" spans="1:26">
      <c r="A89" s="87" t="s">
        <v>93</v>
      </c>
      <c r="B89" s="88">
        <f>Assumptions!C96</f>
        <v>0</v>
      </c>
      <c r="C89" s="4"/>
      <c r="D89" s="4"/>
      <c r="E89" s="4"/>
      <c r="F89" s="4"/>
      <c r="G89" s="4"/>
      <c r="H89" s="4"/>
      <c r="I89" s="4"/>
      <c r="J89" s="4"/>
      <c r="K89" s="4"/>
      <c r="L89" s="4"/>
      <c r="M89" s="4"/>
      <c r="N89" s="4"/>
      <c r="O89" s="4"/>
      <c r="P89" s="4"/>
      <c r="Q89" s="4"/>
      <c r="R89" s="4"/>
      <c r="S89" s="4"/>
      <c r="T89" s="4"/>
      <c r="U89" s="4"/>
      <c r="V89" s="4"/>
      <c r="W89" s="4"/>
      <c r="X89" s="4"/>
      <c r="Y89" s="4"/>
      <c r="Z89" s="4"/>
    </row>
    <row r="90" spans="1:26">
      <c r="A90" s="87" t="s">
        <v>95</v>
      </c>
      <c r="B90" s="88">
        <f>Assumptions!C97</f>
        <v>0</v>
      </c>
      <c r="C90" s="4"/>
      <c r="D90" s="4"/>
      <c r="E90" s="4"/>
      <c r="F90" s="4"/>
      <c r="G90" s="4"/>
      <c r="H90" s="4"/>
      <c r="I90" s="4"/>
      <c r="J90" s="4"/>
      <c r="K90" s="4"/>
      <c r="L90" s="4"/>
      <c r="M90" s="4"/>
      <c r="N90" s="4"/>
      <c r="O90" s="4"/>
      <c r="P90" s="4"/>
      <c r="Q90" s="4"/>
      <c r="R90" s="4"/>
      <c r="S90" s="4"/>
      <c r="T90" s="4"/>
      <c r="U90" s="4"/>
      <c r="V90" s="4"/>
      <c r="W90" s="4"/>
      <c r="X90" s="4"/>
      <c r="Y90" s="4"/>
      <c r="Z90" s="4"/>
    </row>
    <row r="91" spans="1:26">
      <c r="A91" s="87" t="s">
        <v>201</v>
      </c>
      <c r="B91" s="89">
        <f>Assumptions!C98</f>
        <v>0</v>
      </c>
      <c r="C91" s="4"/>
      <c r="D91" s="4"/>
      <c r="E91" s="4"/>
      <c r="F91" s="4"/>
      <c r="G91" s="4"/>
      <c r="H91" s="4"/>
      <c r="I91" s="4"/>
      <c r="J91" s="4"/>
      <c r="K91" s="4"/>
      <c r="L91" s="4"/>
      <c r="M91" s="4"/>
      <c r="N91" s="4"/>
      <c r="O91" s="4"/>
      <c r="P91" s="4"/>
      <c r="Q91" s="4"/>
      <c r="R91" s="4"/>
      <c r="S91" s="4"/>
      <c r="T91" s="4"/>
      <c r="U91" s="4"/>
      <c r="V91" s="4"/>
      <c r="W91" s="4"/>
      <c r="X91" s="4"/>
      <c r="Y91" s="4"/>
      <c r="Z91" s="4"/>
    </row>
    <row r="92" spans="1:26">
      <c r="A92" s="85" t="s">
        <v>202</v>
      </c>
      <c r="B92" s="90">
        <f>SUM(B89:B91)</f>
        <v>0</v>
      </c>
      <c r="C92" s="4"/>
      <c r="D92" s="4"/>
      <c r="E92" s="4"/>
      <c r="F92" s="4"/>
      <c r="G92" s="4"/>
      <c r="H92" s="4"/>
      <c r="I92" s="4"/>
      <c r="J92" s="4"/>
      <c r="K92" s="4"/>
      <c r="L92" s="4"/>
      <c r="M92" s="4"/>
      <c r="N92" s="4"/>
      <c r="O92" s="4"/>
      <c r="P92" s="4"/>
      <c r="Q92" s="4"/>
      <c r="R92" s="4"/>
      <c r="S92" s="4"/>
      <c r="T92" s="4"/>
      <c r="U92" s="4"/>
      <c r="V92" s="4"/>
      <c r="W92" s="4"/>
      <c r="X92" s="4"/>
      <c r="Y92" s="4"/>
      <c r="Z92" s="4"/>
    </row>
    <row r="93" spans="1:26">
      <c r="A93" s="85"/>
      <c r="B93" s="90"/>
      <c r="C93" s="4"/>
      <c r="D93" s="4"/>
      <c r="E93" s="4"/>
      <c r="F93" s="4"/>
      <c r="G93" s="4"/>
      <c r="H93" s="4"/>
      <c r="I93" s="4"/>
      <c r="J93" s="4"/>
      <c r="K93" s="4"/>
      <c r="L93" s="4"/>
      <c r="M93" s="4"/>
      <c r="N93" s="4"/>
      <c r="O93" s="4"/>
      <c r="P93" s="4"/>
      <c r="Q93" s="4"/>
      <c r="R93" s="4"/>
      <c r="S93" s="4"/>
      <c r="T93" s="4"/>
      <c r="U93" s="4"/>
      <c r="V93" s="4"/>
      <c r="W93" s="4"/>
      <c r="X93" s="4"/>
      <c r="Y93" s="4"/>
      <c r="Z93" s="4"/>
    </row>
    <row r="94" spans="1:26">
      <c r="A94" s="85" t="s">
        <v>203</v>
      </c>
      <c r="B94" s="88"/>
      <c r="C94" s="4"/>
      <c r="D94" s="4"/>
      <c r="E94" s="4"/>
      <c r="F94" s="4"/>
      <c r="G94" s="4"/>
      <c r="H94" s="4"/>
      <c r="I94" s="4"/>
      <c r="J94" s="4"/>
      <c r="K94" s="4"/>
      <c r="L94" s="4"/>
      <c r="M94" s="4"/>
      <c r="N94" s="4"/>
      <c r="O94" s="4"/>
      <c r="P94" s="4"/>
      <c r="Q94" s="4"/>
      <c r="R94" s="4"/>
      <c r="S94" s="4"/>
      <c r="T94" s="4"/>
      <c r="U94" s="4"/>
      <c r="V94" s="4"/>
      <c r="W94" s="4"/>
      <c r="X94" s="4"/>
      <c r="Y94" s="4"/>
      <c r="Z94" s="4"/>
    </row>
    <row r="95" spans="1:26">
      <c r="A95" s="87" t="s">
        <v>98</v>
      </c>
      <c r="B95" s="88">
        <f>Assumptions!C101</f>
        <v>0</v>
      </c>
      <c r="C95" s="4"/>
      <c r="D95" s="4"/>
      <c r="E95" s="4"/>
      <c r="F95" s="4"/>
      <c r="G95" s="4"/>
      <c r="H95" s="4"/>
      <c r="I95" s="4"/>
      <c r="J95" s="4"/>
      <c r="K95" s="4"/>
      <c r="L95" s="4"/>
      <c r="M95" s="4"/>
      <c r="N95" s="4"/>
      <c r="O95" s="4"/>
      <c r="P95" s="4"/>
      <c r="Q95" s="4"/>
      <c r="R95" s="4"/>
      <c r="S95" s="4"/>
      <c r="T95" s="4"/>
      <c r="U95" s="4"/>
      <c r="V95" s="4"/>
      <c r="W95" s="4"/>
      <c r="X95" s="4"/>
      <c r="Y95" s="4"/>
      <c r="Z95" s="4"/>
    </row>
    <row r="96" spans="1:26">
      <c r="A96" s="87" t="s">
        <v>99</v>
      </c>
      <c r="B96" s="88">
        <f>Assumptions!C102</f>
        <v>0</v>
      </c>
      <c r="C96" s="4"/>
      <c r="D96" s="4"/>
      <c r="E96" s="4"/>
      <c r="F96" s="4"/>
      <c r="G96" s="4"/>
      <c r="H96" s="4"/>
      <c r="I96" s="4"/>
      <c r="J96" s="4"/>
      <c r="K96" s="4"/>
      <c r="L96" s="4"/>
      <c r="M96" s="4"/>
      <c r="N96" s="4"/>
      <c r="O96" s="4"/>
      <c r="P96" s="4"/>
      <c r="Q96" s="4"/>
      <c r="R96" s="4"/>
      <c r="S96" s="4"/>
      <c r="T96" s="4"/>
      <c r="U96" s="4"/>
      <c r="V96" s="4"/>
      <c r="W96" s="4"/>
      <c r="X96" s="4"/>
      <c r="Y96" s="4"/>
      <c r="Z96" s="4"/>
    </row>
    <row r="97" spans="1:26">
      <c r="A97" s="87" t="s">
        <v>100</v>
      </c>
      <c r="B97" s="89">
        <f>Assumptions!C103</f>
        <v>0</v>
      </c>
      <c r="C97" s="4"/>
      <c r="D97" s="4"/>
      <c r="E97" s="4"/>
      <c r="F97" s="4"/>
      <c r="G97" s="4"/>
      <c r="H97" s="4"/>
      <c r="I97" s="4"/>
      <c r="J97" s="4"/>
      <c r="K97" s="4"/>
      <c r="L97" s="4"/>
      <c r="M97" s="4"/>
      <c r="N97" s="4"/>
      <c r="O97" s="4"/>
      <c r="P97" s="4"/>
      <c r="Q97" s="4"/>
      <c r="R97" s="4"/>
      <c r="S97" s="4"/>
      <c r="T97" s="4"/>
      <c r="U97" s="4"/>
      <c r="V97" s="4"/>
      <c r="W97" s="4"/>
      <c r="X97" s="4"/>
      <c r="Y97" s="4"/>
      <c r="Z97" s="4"/>
    </row>
    <row r="98" spans="1:26">
      <c r="A98" s="85" t="s">
        <v>204</v>
      </c>
      <c r="B98" s="90">
        <f>SUM(B95:B97)</f>
        <v>0</v>
      </c>
      <c r="C98" s="4"/>
      <c r="D98" s="4"/>
      <c r="E98" s="4"/>
      <c r="F98" s="4"/>
      <c r="G98" s="4"/>
      <c r="H98" s="4"/>
      <c r="I98" s="4"/>
      <c r="J98" s="4"/>
      <c r="K98" s="4"/>
      <c r="L98" s="4"/>
      <c r="M98" s="4"/>
      <c r="N98" s="4"/>
      <c r="O98" s="4"/>
      <c r="P98" s="4"/>
      <c r="Q98" s="4"/>
      <c r="R98" s="4"/>
      <c r="S98" s="4"/>
      <c r="T98" s="4"/>
      <c r="U98" s="4"/>
      <c r="V98" s="4"/>
      <c r="W98" s="4"/>
      <c r="X98" s="4"/>
      <c r="Y98" s="4"/>
      <c r="Z98" s="4"/>
    </row>
    <row r="99" spans="1:26">
      <c r="A99" s="85"/>
      <c r="B99" s="90"/>
      <c r="C99" s="4"/>
      <c r="D99" s="4"/>
      <c r="E99" s="4"/>
      <c r="F99" s="4"/>
      <c r="G99" s="4"/>
      <c r="H99" s="4"/>
      <c r="I99" s="4"/>
      <c r="J99" s="4"/>
      <c r="K99" s="4"/>
      <c r="L99" s="4"/>
      <c r="M99" s="4"/>
      <c r="N99" s="4"/>
      <c r="O99" s="4"/>
      <c r="P99" s="4"/>
      <c r="Q99" s="4"/>
      <c r="R99" s="4"/>
      <c r="S99" s="4"/>
      <c r="T99" s="4"/>
      <c r="U99" s="4"/>
      <c r="V99" s="4"/>
      <c r="W99" s="4"/>
      <c r="X99" s="4"/>
      <c r="Y99" s="4"/>
      <c r="Z99" s="4"/>
    </row>
    <row r="100" spans="1:26">
      <c r="A100" s="85" t="s">
        <v>205</v>
      </c>
      <c r="B100" s="88"/>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87" t="s">
        <v>206</v>
      </c>
      <c r="B101" s="88">
        <f>Assumptions!C106</f>
        <v>0</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87" t="s">
        <v>107</v>
      </c>
      <c r="B102" s="88">
        <f>Assumptions!C107</f>
        <v>0</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87" t="s">
        <v>103</v>
      </c>
      <c r="B103" s="88">
        <f>Assumptions!C108</f>
        <v>0</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87" t="s">
        <v>109</v>
      </c>
      <c r="B104" s="88">
        <f>Assumptions!C109</f>
        <v>0</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87" t="s">
        <v>207</v>
      </c>
      <c r="B105" s="89">
        <f>Assumptions!C110</f>
        <v>0</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85" t="s">
        <v>208</v>
      </c>
      <c r="B106" s="90">
        <f>SUM(B101:B105)</f>
        <v>0</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85"/>
      <c r="B107" s="90"/>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85" t="s">
        <v>209</v>
      </c>
      <c r="B108" s="88"/>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87" t="s">
        <v>210</v>
      </c>
      <c r="B109" s="88">
        <f>Assumptions!C113</f>
        <v>0</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87" t="s">
        <v>113</v>
      </c>
      <c r="B110" s="88">
        <f>Assumptions!C114</f>
        <v>0</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87" t="s">
        <v>115</v>
      </c>
      <c r="B111" s="88">
        <f>Assumptions!C115</f>
        <v>0</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85" t="s">
        <v>211</v>
      </c>
      <c r="B112" s="89">
        <f>SUM(B109:B111)</f>
        <v>0</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87"/>
      <c r="B113" s="88"/>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85" t="s">
        <v>212</v>
      </c>
      <c r="B114" s="88"/>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5">
      <c r="A115" s="99" t="s">
        <v>213</v>
      </c>
      <c r="B115" s="88">
        <f>Assumptions!C118</f>
        <v>0</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68" t="s">
        <v>119</v>
      </c>
      <c r="B116" s="88">
        <f>Assumptions!C119</f>
        <v>0</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68" t="s">
        <v>120</v>
      </c>
      <c r="B117" s="88">
        <f>Assumptions!C120</f>
        <v>0</v>
      </c>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65" t="s">
        <v>122</v>
      </c>
      <c r="B118" s="88">
        <f>Assumptions!C121</f>
        <v>0</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65" t="s">
        <v>123</v>
      </c>
      <c r="B119" s="88">
        <f>Assumptions!C122</f>
        <v>0</v>
      </c>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65" t="s">
        <v>124</v>
      </c>
      <c r="B120" s="88">
        <f>Assumptions!C123</f>
        <v>0</v>
      </c>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65" t="s">
        <v>125</v>
      </c>
      <c r="B121" s="88">
        <f>Assumptions!C124</f>
        <v>0</v>
      </c>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65" t="s">
        <v>126</v>
      </c>
      <c r="B122" s="88">
        <f>Assumptions!C125</f>
        <v>0</v>
      </c>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65" t="s">
        <v>127</v>
      </c>
      <c r="B123" s="88">
        <f>Assumptions!C126</f>
        <v>0</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65" t="s">
        <v>128</v>
      </c>
      <c r="B124" s="88">
        <f>Assumptions!C127</f>
        <v>0</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65" t="s">
        <v>129</v>
      </c>
      <c r="B125" s="88">
        <f>Assumptions!C128</f>
        <v>0</v>
      </c>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65" t="s">
        <v>131</v>
      </c>
      <c r="B126" s="88">
        <f>Assumptions!C129</f>
        <v>0</v>
      </c>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65" t="s">
        <v>132</v>
      </c>
      <c r="B127" s="88">
        <f>Assumptions!C130</f>
        <v>0</v>
      </c>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65" t="s">
        <v>133</v>
      </c>
      <c r="B128" s="88">
        <f>Assumptions!C131</f>
        <v>0</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65" t="s">
        <v>134</v>
      </c>
      <c r="B129" s="89">
        <f>Assumptions!C132</f>
        <v>0</v>
      </c>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85" t="s">
        <v>214</v>
      </c>
      <c r="B130" s="90">
        <f>SUM(B115:B129)</f>
        <v>0</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85"/>
      <c r="B131" s="90"/>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85" t="s">
        <v>215</v>
      </c>
      <c r="B132" s="88"/>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87" t="s">
        <v>136</v>
      </c>
      <c r="B133" s="88">
        <f>Assumptions!C135</f>
        <v>0</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87" t="s">
        <v>137</v>
      </c>
      <c r="B134" s="89">
        <f>Assumptions!C136</f>
        <v>0</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85" t="s">
        <v>216</v>
      </c>
      <c r="B135" s="90">
        <f>SUM(B133:B134)</f>
        <v>0</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85"/>
      <c r="B136" s="90"/>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85" t="s">
        <v>217</v>
      </c>
      <c r="B137" s="8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87" t="s">
        <v>218</v>
      </c>
      <c r="B138" s="88">
        <f>IF(AND(Assumptions!$H139="Total"),Assumptions!C139,IF(AND(Assumptions!$H139="Per Pupil"),Assumptions!C139*Assumptions!C$22,0))</f>
        <v>5500</v>
      </c>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87" t="s">
        <v>219</v>
      </c>
      <c r="B139" s="88">
        <f>IF(AND(Assumptions!$H140="Total"),Assumptions!C140,IF(AND(Assumptions!$H140="Per Pupil"),Assumptions!C140*Assumptions!C$22,0))</f>
        <v>15000</v>
      </c>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65" t="s">
        <v>220</v>
      </c>
      <c r="B140" s="88">
        <f>IF(AND(Assumptions!$H141="Total"),Assumptions!C141,IF(AND(Assumptions!$H141="Per Pupil"),Assumptions!C141*Assumptions!C$22,0))</f>
        <v>15000</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87" t="s">
        <v>221</v>
      </c>
      <c r="B141" s="88">
        <f>IF(AND(Assumptions!$H142="Total"),Assumptions!C142,IF(AND(Assumptions!$H142="Per Pupil"),Assumptions!C142*Assumptions!C$22,0))</f>
        <v>15000</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87" t="s">
        <v>222</v>
      </c>
      <c r="B142" s="88">
        <f>IF(AND(Assumptions!$H143="Total"),Assumptions!C143,IF(AND(Assumptions!$H143="Per Pupil"),Assumptions!C143*Assumptions!C$22,0))</f>
        <v>90000</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87" t="s">
        <v>223</v>
      </c>
      <c r="B143" s="88">
        <f>IF(AND(Assumptions!$H144="Total"),Assumptions!C144,IF(AND(Assumptions!$H144="Per Pupil"),Assumptions!C144*Assumptions!C$22,0))</f>
        <v>2500</v>
      </c>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87" t="s">
        <v>224</v>
      </c>
      <c r="B144" s="88">
        <f>IF(AND(Assumptions!$H145="Total"),Assumptions!C145,IF(AND(Assumptions!$H145="Per Pupil"),Assumptions!C145*Assumptions!C$22,0))</f>
        <v>6000</v>
      </c>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87" t="s">
        <v>225</v>
      </c>
      <c r="B145" s="88">
        <f>IF(AND(Assumptions!$H146="Total"),Assumptions!C146,IF(AND(Assumptions!$H146="Per Pupil"),Assumptions!C146*Assumptions!C$22,0))</f>
        <v>80000</v>
      </c>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87" t="s">
        <v>226</v>
      </c>
      <c r="B146" s="88">
        <f>IF(AND(Assumptions!$H149="Total"),Assumptions!C149,IF(AND(Assumptions!$H149="Per Pupil"),Assumptions!C149*Assumptions!C$22,0))</f>
        <v>1215000</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87" t="s">
        <v>227</v>
      </c>
      <c r="B147" s="88">
        <f>IF(AND(Assumptions!$H151="Total"),Assumptions!C151,IF(AND(Assumptions!$H151="Per Pupil"),Assumptions!C151*Assumptions!C$22,0))</f>
        <v>0</v>
      </c>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87" t="s">
        <v>228</v>
      </c>
      <c r="B148" s="88">
        <f>IF(AND(Assumptions!$H152="Total"),Assumptions!C152,IF(AND(Assumptions!$H152="Per Pupil"),Assumptions!C152*Assumptions!C$22,0))</f>
        <v>0</v>
      </c>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87" t="s">
        <v>229</v>
      </c>
      <c r="B149" s="88">
        <f>IF(AND(Assumptions!$H153="Total"),Assumptions!C153,IF(AND(Assumptions!$H153="Per Pupil"),Assumptions!C153*Assumptions!C$22,0))</f>
        <v>30000</v>
      </c>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87" t="s">
        <v>230</v>
      </c>
      <c r="B150" s="88">
        <f>IF(AND(Assumptions!$H154="Total"),Assumptions!C154,IF(AND(Assumptions!$H154="Per Pupil"),Assumptions!C154*Assumptions!C$22,0))</f>
        <v>50000</v>
      </c>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87" t="s">
        <v>231</v>
      </c>
      <c r="B151" s="88">
        <f>IF(AND(Assumptions!$H155="Total"),Assumptions!C155,IF(AND(Assumptions!$H155="Per Pupil"),Assumptions!C155*Assumptions!C$22,0))</f>
        <v>14400</v>
      </c>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87" t="s">
        <v>232</v>
      </c>
      <c r="B152" s="88">
        <f>IF(AND(Assumptions!$H156="Total"),Assumptions!C156,IF(AND(Assumptions!$H156="Per Pupil"),Assumptions!C156*Assumptions!C$22,0))</f>
        <v>1200</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87" t="s">
        <v>233</v>
      </c>
      <c r="B153" s="88">
        <f>IF(AND(Assumptions!$H157="Total"),Assumptions!C157,IF(AND(Assumptions!$H157="Per Pupil"),Assumptions!C157*Assumptions!C$22,0))</f>
        <v>15000</v>
      </c>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87" t="s">
        <v>234</v>
      </c>
      <c r="B154" s="88">
        <f>IF(AND(Assumptions!$H158="Total"),Assumptions!C158,IF(AND(Assumptions!$H158="Per Pupil"),Assumptions!C158*Assumptions!C$22,0))</f>
        <v>15000</v>
      </c>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87" t="s">
        <v>235</v>
      </c>
      <c r="B155" s="88">
        <f>IF(AND(Assumptions!$H159="Total"),Assumptions!C159,IF(AND(Assumptions!$H159="Per Pupil"),Assumptions!C159*Assumptions!C$22,0))</f>
        <v>3000</v>
      </c>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87" t="s">
        <v>236</v>
      </c>
      <c r="B156" s="88">
        <f>IF(AND(Assumptions!$H160="Total"),Assumptions!C160,IF(AND(Assumptions!$H160="Per Pupil"),Assumptions!C160*Assumptions!C$22,0))</f>
        <v>10000</v>
      </c>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87" t="s">
        <v>237</v>
      </c>
      <c r="B157" s="88">
        <f>IF(AND(Assumptions!$H161="Total"),Assumptions!C161,IF(AND(Assumptions!$H161="Per Pupil"),Assumptions!C161*Assumptions!C$22,0))</f>
        <v>10000</v>
      </c>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87" t="str">
        <f>Assumptions!A162</f>
        <v>Oasis HR Services</v>
      </c>
      <c r="B158" s="88">
        <f>IF(AND(Assumptions!$H162="Total"),Assumptions!C162,IF(AND(Assumptions!$H162="Per Pupil"),Assumptions!C162*Assumptions!C$22,0))</f>
        <v>37000</v>
      </c>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87" t="str">
        <f>Assumptions!A163</f>
        <v>Audit Fees</v>
      </c>
      <c r="B159" s="88">
        <f>IF(AND(Assumptions!$H163="Total"),Assumptions!C163,IF(AND(Assumptions!$H163="Per Pupil"),Assumptions!C163*Assumptions!C$22,0))</f>
        <v>12500</v>
      </c>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87" t="str">
        <f>Assumptions!A164</f>
        <v>Accounting Fees</v>
      </c>
      <c r="B160" s="88">
        <f>IF(AND(Assumptions!$H164="Total"),Assumptions!C164,IF(AND(Assumptions!$H164="Per Pupil"),Assumptions!C164*Assumptions!C$22,0))</f>
        <v>12000</v>
      </c>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87" t="str">
        <f>Assumptions!A165</f>
        <v>Other</v>
      </c>
      <c r="B161" s="88">
        <f>IF(AND(Assumptions!$H165="Total"),Assumptions!C165,IF(AND(Assumptions!$H165="Per Pupil"),Assumptions!C165*Assumptions!C$22,0))</f>
        <v>0</v>
      </c>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87" t="str">
        <f>Assumptions!A166</f>
        <v>IT Services</v>
      </c>
      <c r="B162" s="88">
        <f>IF(AND(Assumptions!$H166="Total"),Assumptions!C166,IF(AND(Assumptions!$H166="Per Pupil"),Assumptions!C166*Assumptions!C$22,0))</f>
        <v>20000</v>
      </c>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87" t="str">
        <f>Assumptions!A167</f>
        <v>Special Education Contracted Services</v>
      </c>
      <c r="B163" s="88">
        <f>IF(AND(Assumptions!$H167="Total"),Assumptions!C167,IF(AND(Assumptions!$H167="Per Pupil"),Assumptions!C167*Assumptions!C$22,0))</f>
        <v>100000</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87" t="str">
        <f>Assumptions!A168</f>
        <v>Other</v>
      </c>
      <c r="B164" s="88">
        <f>IF(AND(Assumptions!$H168="Total"),Assumptions!C168,IF(AND(Assumptions!$H168="Per Pupil"),Assumptions!C168*Assumptions!C$22,0))</f>
        <v>0</v>
      </c>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87" t="str">
        <f>Assumptions!A169</f>
        <v>Other</v>
      </c>
      <c r="B165" s="89">
        <f>IF(AND(Assumptions!$H169="Total"),Assumptions!C169,IF(AND(Assumptions!$H169="Per Pupil"),Assumptions!C169*Assumptions!C$22,0))</f>
        <v>0</v>
      </c>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85" t="s">
        <v>238</v>
      </c>
      <c r="B166" s="90">
        <f>SUM(B138:B165)</f>
        <v>1774100</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85"/>
      <c r="B167" s="90"/>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85" t="s">
        <v>239</v>
      </c>
      <c r="B168" s="88"/>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87" t="s">
        <v>240</v>
      </c>
      <c r="B169" s="88">
        <f>Assumptions!C172</f>
        <v>55000</v>
      </c>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87" t="s">
        <v>241</v>
      </c>
      <c r="B170" s="88">
        <f>Assumptions!C173</f>
        <v>15000</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87" t="s">
        <v>242</v>
      </c>
      <c r="B171" s="88">
        <f>Assumptions!C174</f>
        <v>15000</v>
      </c>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87" t="s">
        <v>243</v>
      </c>
      <c r="B172" s="88">
        <f>Assumptions!C175</f>
        <v>7500</v>
      </c>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87" t="s">
        <v>244</v>
      </c>
      <c r="B173" s="89">
        <f>Assumptions!C176</f>
        <v>0</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85" t="s">
        <v>245</v>
      </c>
      <c r="B174" s="90">
        <f>SUM(B169:B173)</f>
        <v>92500</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85"/>
      <c r="B175" s="90"/>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85" t="s">
        <v>246</v>
      </c>
      <c r="B176" s="90"/>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87" t="s">
        <v>247</v>
      </c>
      <c r="B177" s="88">
        <f>Assumptions!C179</f>
        <v>2500</v>
      </c>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87" t="s">
        <v>248</v>
      </c>
      <c r="B178" s="88">
        <f>Assumptions!C180</f>
        <v>0</v>
      </c>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87" t="s">
        <v>249</v>
      </c>
      <c r="B179" s="88">
        <f>Assumptions!C181</f>
        <v>0</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87" t="s">
        <v>250</v>
      </c>
      <c r="B180" s="89">
        <f>Assumptions!C182</f>
        <v>2500</v>
      </c>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85" t="s">
        <v>251</v>
      </c>
      <c r="B181" s="90">
        <f>SUM(B177:B180)</f>
        <v>5000</v>
      </c>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85"/>
      <c r="B182" s="90"/>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85" t="s">
        <v>252</v>
      </c>
      <c r="B183" s="90"/>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87" t="s">
        <v>253</v>
      </c>
      <c r="B184" s="88">
        <f>Assumptions!C185</f>
        <v>3499.2</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87" t="s">
        <v>254</v>
      </c>
      <c r="B185" s="89">
        <f>Assumptions!C186</f>
        <v>0</v>
      </c>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85" t="s">
        <v>255</v>
      </c>
      <c r="B186" s="90">
        <f>SUM(B184:B185)</f>
        <v>3499.2</v>
      </c>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85"/>
      <c r="B187" s="90"/>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 r="A188" s="100" t="s">
        <v>256</v>
      </c>
      <c r="B188" s="92">
        <f>B186+B181+B174+B166+B135+B130+B112+B106+B98+B92+B86+B80+B75+B67+B55</f>
        <v>4247300.0797499996</v>
      </c>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23"/>
      <c r="B189" s="90"/>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23" t="s">
        <v>257</v>
      </c>
      <c r="B190" s="101"/>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87"/>
      <c r="B191" s="88"/>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 r="A192" s="102" t="s">
        <v>258</v>
      </c>
      <c r="B192" s="90">
        <f>B28-B188-B190</f>
        <v>162179.92025000043</v>
      </c>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30">
      <c r="A193" s="103" t="s">
        <v>259</v>
      </c>
      <c r="B193" s="88">
        <f>(B28-B26)*0.03-B196</f>
        <v>132284.4</v>
      </c>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104" t="s">
        <v>260</v>
      </c>
      <c r="B194" s="88">
        <f>B192-B193</f>
        <v>29895.520250000438</v>
      </c>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105"/>
      <c r="B195" s="88"/>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106" t="s">
        <v>261</v>
      </c>
      <c r="B196" s="90">
        <f>'Year 0'!B197</f>
        <v>0</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106" t="s">
        <v>262</v>
      </c>
      <c r="B197" s="90">
        <f>B193+B196</f>
        <v>132284.4</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105"/>
      <c r="B198" s="8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106" t="s">
        <v>263</v>
      </c>
      <c r="B199" s="90">
        <f>'Year 0'!B200</f>
        <v>0</v>
      </c>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106" t="s">
        <v>264</v>
      </c>
      <c r="B200" s="90">
        <f>B199+B192</f>
        <v>162179.92025000043</v>
      </c>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87"/>
      <c r="B201" s="88"/>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87"/>
      <c r="B202" s="88"/>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85"/>
      <c r="B203" s="90"/>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85"/>
      <c r="B204" s="90"/>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85"/>
      <c r="B205" s="90"/>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87"/>
      <c r="B206" s="88"/>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87"/>
      <c r="B207" s="88"/>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85"/>
      <c r="B208" s="90"/>
      <c r="C208" s="4"/>
      <c r="D208" s="4"/>
      <c r="E208" s="4"/>
      <c r="F208" s="4"/>
      <c r="G208" s="4"/>
      <c r="H208" s="4"/>
      <c r="I208" s="4"/>
      <c r="J208" s="4"/>
      <c r="K208" s="4"/>
      <c r="L208" s="4"/>
      <c r="M208" s="4"/>
      <c r="N208" s="4"/>
      <c r="O208" s="4"/>
      <c r="P208" s="4"/>
      <c r="Q208" s="4"/>
      <c r="R208" s="4"/>
      <c r="S208" s="4"/>
      <c r="T208" s="4"/>
      <c r="U208" s="4"/>
      <c r="V208" s="4"/>
      <c r="W208" s="96" t="e">
        <f>(SUM(Assumptions!C69:C77,Assumptions!C80:C84,Assumptions!C87:C88,Assumptions!C91:C93,Assumptions!C96:C98,Assumptions!C101:C103,Assumptions!C106:C106,Assumptions!#REF!,Assumptions!#REF!,Assumptions!#REF!,Assumptions!C107:C110,Assumptions!C113:C118,Assumptions!C135:C136,Assumptions!C172:C176,Assumptions!C179:C182,Assumptions!C185:C186)+IF(AND(Assumptions!$H139="Total"),Assumptions!C139,IF(AND(Assumptions!$H139="Per Pupil"),Assumptions!C139*Assumptions!C$22,0))+IF(AND(Assumptions!$H140="Total"),Assumptions!C140,IF(AND(Assumptions!$H140="Per Pupil"),Assumptions!C140*Assumptions!C$22,0))+IF(AND(Assumptions!$H141="Total"),Assumptions!C141,IF(AND(Assumptions!$H141="Per Pupil"),Assumptions!C141*Assumptions!C$22,0))+IF(AND(Assumptions!$H142="Total"),Assumptions!C142,IF(AND(Assumptions!$H142="Per Pupil"),Assumptions!C142*Assumptions!C$22,0))+IF(AND(Assumptions!$H143="Total"),Assumptions!C143,IF(AND(Assumptions!$H143="Per Pupil"),Assumptions!C143*Assumptions!C$22,0))+IF(AND(Assumptions!$H144="Total"),Assumptions!C144,IF(AND(Assumptions!$H144="Per Pupil"),Assumptions!C144*Assumptions!C$22,0))+IF(AND(Assumptions!$H145="Total"),Assumptions!C145,IF(AND(Assumptions!$H145="Per Pupil"),Assumptions!C145*Assumptions!C$22,0))+IF(AND(Assumptions!$H146="Total"),Assumptions!C146,IF(AND(Assumptions!$H146="Per Pupil"),Assumptions!C146*Assumptions!C$22,0))+IF(AND(Assumptions!$H149="Total"),Assumptions!C149,IF(AND(Assumptions!$H149="Per Pupil"),Assumptions!C149*Assumptions!C$22,0))+IF(AND(Assumptions!$H151="Total"),Assumptions!C151,IF(AND(Assumptions!$H151="Per Pupil"),Assumptions!C151*Assumptions!C$22,0))+IF(AND(Assumptions!$H152="Total"),Assumptions!C152,IF(AND(Assumptions!$H152="Per Pupil"),Assumptions!C152*Assumptions!C$22,0))+IF(AND(Assumptions!$H153="Total"),Assumptions!C153,IF(AND(Assumptions!$H153="Per Pupil"),Assumptions!C153*Assumptions!C$22,0))+IF(AND(Assumptions!$H154="Total"),Assumptions!C154,IF(AND(Assumptions!$H154="Per Pupil"),Assumptions!C154*Assumptions!C$22,0))+IF(AND(Assumptions!$H155="Total"),Assumptions!C155,IF(AND(Assumptions!$H155="Per Pupil"),Assumptions!C155*Assumptions!C$22,0))+IF(AND(Assumptions!$H156="Total"),Assumptions!C156,IF(AND(Assumptions!$H156="Per Pupil"),Assumptions!C156*Assumptions!C$22,0))+IF(AND(Assumptions!$H157="Total"),Assumptions!C157,IF(AND(Assumptions!$H157="Per Pupil"),Assumptions!C157*Assumptions!C$22,0))+IF(AND(Assumptions!$H158="Total"),Assumptions!C158,IF(AND(Assumptions!$H158="Per Pupil"),Assumptions!C158*Assumptions!C$22,0))+IF(AND(Assumptions!$H159="Total"),Assumptions!C159,IF(AND(Assumptions!$H159="Per Pupil"),Assumptions!C159*Assumptions!C$22,0))+IF(AND(Assumptions!$H160="Total"),Assumptions!C160,IF(AND(Assumptions!$H160="Per Pupil"),Assumptions!C160*Assumptions!C$22,0))+IF(AND(Assumptions!$H161="Total"),Assumptions!C161,IF(AND(Assumptions!$H161="Per Pupil"),Assumptions!C161*Assumptions!C$22,0))+IF(AND(Assumptions!$H162="Total"),Assumptions!C162,IF(AND(Assumptions!$H162="Per Pupil"),Assumptions!C162*Assumptions!C$22,0))+IF(AND(Assumptions!$H163="Total"),Assumptions!C163,IF(AND(Assumptions!$H163="Per Pupil"),Assumptions!C163*Assumptions!C$22,0))+IF(AND(Assumptions!$H164="Total"),Assumptions!C164,IF(AND(Assumptions!$H164="Per Pupil"),Assumptions!C164*Assumptions!C$22,0))+IF(AND(Assumptions!$H165="Total"),Assumptions!C165,IF(AND(Assumptions!$H165="Per Pupil"),Assumptions!C165*Assumptions!C$22,0))+IF(AND(Assumptions!$H166="Total"),Assumptions!C166,IF(AND(Assumptions!$H166="Per Pupil"),Assumptions!C166*Assumptions!C$22,0))+IF(AND(Assumptions!$H167="Total"),Assumptions!C167,IF(AND(Assumptions!$H167="Per Pupil"),Assumptions!C167*Assumptions!C$22,0))+IF(AND(Assumptions!$H168="Total"),Assumptions!C168,IF(AND(Assumptions!$H168="Per Pupil"),Assumptions!C168*Assumptions!C$22,0))+IF(AND(Assumptions!$H169="Total"),Assumptions!C169,IF(AND(Assumptions!$H169="Per Pupil"),Assumptions!C169*Assumptions!C$22,0)))-($B$210-$B$55)</f>
        <v>#REF!</v>
      </c>
      <c r="X208" s="4"/>
      <c r="Y208" s="4"/>
      <c r="Z208" s="4"/>
    </row>
    <row r="209" spans="1:26">
      <c r="A209" s="85"/>
      <c r="B209" s="90"/>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 r="A210" s="108"/>
      <c r="B210" s="90"/>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23"/>
      <c r="B211" s="90"/>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23"/>
      <c r="B212" s="90"/>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87"/>
      <c r="B213" s="88"/>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 r="A214" s="109"/>
      <c r="B214" s="110"/>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111"/>
      <c r="B215" s="112"/>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111"/>
      <c r="B216" s="112"/>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11"/>
      <c r="B217" s="112"/>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10"/>
      <c r="B218" s="110"/>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B1"/>
    <mergeCell ref="A2:B2"/>
    <mergeCell ref="A6:B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5" topLeftCell="A12" activePane="bottomLeft" state="frozen"/>
      <selection pane="bottomLeft" activeCell="B36" sqref="B36"/>
    </sheetView>
  </sheetViews>
  <sheetFormatPr defaultColWidth="14.42578125" defaultRowHeight="15" customHeight="1"/>
  <cols>
    <col min="1" max="1" width="71.28515625" customWidth="1"/>
    <col min="2" max="2" width="14.28515625" customWidth="1"/>
    <col min="3" max="24" width="9.140625" customWidth="1"/>
    <col min="25" max="26" width="8.7109375" customWidth="1"/>
  </cols>
  <sheetData>
    <row r="1" spans="1:26" ht="18.75">
      <c r="A1" s="322" t="str">
        <f>TEXT(Assumptions!A1,1)</f>
        <v>Leman Academy of Excellence</v>
      </c>
      <c r="B1" s="297"/>
      <c r="C1" s="80"/>
      <c r="D1" s="80"/>
      <c r="E1" s="80"/>
      <c r="F1" s="80"/>
      <c r="G1" s="80"/>
      <c r="H1" s="80"/>
      <c r="I1" s="80"/>
      <c r="J1" s="80"/>
      <c r="K1" s="80"/>
      <c r="L1" s="80"/>
      <c r="M1" s="80"/>
      <c r="N1" s="80"/>
      <c r="O1" s="80"/>
      <c r="P1" s="80"/>
      <c r="Q1" s="80"/>
      <c r="R1" s="80"/>
      <c r="S1" s="80"/>
      <c r="T1" s="80"/>
      <c r="U1" s="80"/>
      <c r="V1" s="80"/>
      <c r="W1" s="80"/>
      <c r="X1" s="80"/>
      <c r="Y1" s="80"/>
      <c r="Z1" s="80"/>
    </row>
    <row r="2" spans="1:26" ht="18.75">
      <c r="A2" s="323" t="s">
        <v>328</v>
      </c>
      <c r="B2" s="305"/>
      <c r="C2" s="80"/>
      <c r="D2" s="80"/>
      <c r="E2" s="80"/>
      <c r="F2" s="80"/>
      <c r="G2" s="80"/>
      <c r="H2" s="80"/>
      <c r="I2" s="80"/>
      <c r="J2" s="80"/>
      <c r="K2" s="80"/>
      <c r="L2" s="80"/>
      <c r="M2" s="80"/>
      <c r="N2" s="80"/>
      <c r="O2" s="80"/>
      <c r="P2" s="80"/>
      <c r="Q2" s="80"/>
      <c r="R2" s="80"/>
      <c r="S2" s="80"/>
      <c r="T2" s="80"/>
      <c r="U2" s="80"/>
      <c r="V2" s="80"/>
      <c r="W2" s="80"/>
      <c r="X2" s="80"/>
      <c r="Y2" s="80"/>
      <c r="Z2" s="80"/>
    </row>
    <row r="3" spans="1:26" ht="18.75">
      <c r="A3" s="81" t="s">
        <v>20</v>
      </c>
      <c r="B3" s="82">
        <f>Assumptions!D21</f>
        <v>728.5</v>
      </c>
      <c r="C3" s="80"/>
      <c r="D3" s="80"/>
      <c r="E3" s="80"/>
      <c r="F3" s="80"/>
      <c r="G3" s="80"/>
      <c r="H3" s="80"/>
      <c r="I3" s="80"/>
      <c r="J3" s="80"/>
      <c r="K3" s="80"/>
      <c r="L3" s="80"/>
      <c r="M3" s="80"/>
      <c r="N3" s="80"/>
      <c r="O3" s="80"/>
      <c r="P3" s="80"/>
      <c r="Q3" s="80"/>
      <c r="R3" s="80"/>
      <c r="S3" s="80"/>
      <c r="T3" s="80"/>
      <c r="U3" s="80"/>
      <c r="V3" s="80"/>
      <c r="W3" s="80"/>
      <c r="X3" s="80"/>
      <c r="Y3" s="80"/>
      <c r="Z3" s="80"/>
    </row>
    <row r="4" spans="1:26">
      <c r="A4" s="81" t="s">
        <v>142</v>
      </c>
      <c r="B4" s="82">
        <f>Assumptions!D22</f>
        <v>738.5</v>
      </c>
      <c r="C4" s="4"/>
      <c r="D4" s="4"/>
      <c r="E4" s="4"/>
      <c r="F4" s="4"/>
      <c r="G4" s="4"/>
      <c r="H4" s="4"/>
      <c r="I4" s="4"/>
      <c r="J4" s="4"/>
      <c r="K4" s="4"/>
      <c r="L4" s="4"/>
      <c r="M4" s="4"/>
      <c r="N4" s="4"/>
      <c r="O4" s="4"/>
      <c r="P4" s="4"/>
      <c r="Q4" s="4"/>
      <c r="R4" s="4"/>
      <c r="S4" s="4"/>
      <c r="T4" s="4"/>
      <c r="U4" s="4"/>
      <c r="V4" s="4"/>
      <c r="W4" s="4"/>
      <c r="X4" s="4"/>
      <c r="Y4" s="4"/>
      <c r="Z4" s="4"/>
    </row>
    <row r="5" spans="1:26" ht="15.75">
      <c r="A5" s="83"/>
      <c r="B5" s="84" t="s">
        <v>143</v>
      </c>
      <c r="C5" s="4"/>
      <c r="D5" s="4"/>
      <c r="E5" s="4"/>
      <c r="F5" s="4"/>
      <c r="G5" s="4"/>
      <c r="H5" s="4"/>
      <c r="I5" s="4"/>
      <c r="J5" s="4"/>
      <c r="K5" s="4"/>
      <c r="L5" s="4"/>
      <c r="M5" s="4"/>
      <c r="N5" s="4"/>
      <c r="O5" s="4"/>
      <c r="P5" s="4"/>
      <c r="Q5" s="4"/>
      <c r="R5" s="4"/>
      <c r="S5" s="4"/>
      <c r="T5" s="4"/>
      <c r="U5" s="4"/>
      <c r="V5" s="4"/>
      <c r="W5" s="4"/>
      <c r="X5" s="4"/>
      <c r="Y5" s="4"/>
      <c r="Z5" s="4"/>
    </row>
    <row r="6" spans="1:26" ht="18.75">
      <c r="A6" s="324" t="s">
        <v>144</v>
      </c>
      <c r="B6" s="312"/>
      <c r="C6" s="4"/>
      <c r="D6" s="4"/>
      <c r="E6" s="4"/>
      <c r="F6" s="4"/>
      <c r="G6" s="4"/>
      <c r="H6" s="4"/>
      <c r="I6" s="4"/>
      <c r="J6" s="4"/>
      <c r="K6" s="4"/>
      <c r="L6" s="4"/>
      <c r="M6" s="4"/>
      <c r="N6" s="4"/>
      <c r="O6" s="4"/>
      <c r="P6" s="4"/>
      <c r="Q6" s="4"/>
      <c r="R6" s="4"/>
      <c r="S6" s="4"/>
      <c r="T6" s="4"/>
      <c r="U6" s="4"/>
      <c r="V6" s="4"/>
      <c r="W6" s="4"/>
      <c r="X6" s="4"/>
      <c r="Y6" s="4"/>
      <c r="Z6" s="4"/>
    </row>
    <row r="7" spans="1:26">
      <c r="A7" s="85" t="s">
        <v>145</v>
      </c>
      <c r="B7" s="4"/>
      <c r="C7" s="4"/>
      <c r="D7" s="4"/>
      <c r="E7" s="4"/>
      <c r="F7" s="4"/>
      <c r="G7" s="4"/>
      <c r="H7" s="4"/>
      <c r="I7" s="4"/>
      <c r="J7" s="4"/>
      <c r="K7" s="4"/>
      <c r="L7" s="4"/>
      <c r="M7" s="4"/>
      <c r="N7" s="4"/>
      <c r="O7" s="4"/>
      <c r="P7" s="4"/>
      <c r="Q7" s="4"/>
      <c r="R7" s="4"/>
      <c r="S7" s="4"/>
      <c r="T7" s="4"/>
      <c r="U7" s="4"/>
      <c r="V7" s="4"/>
      <c r="W7" s="4"/>
      <c r="X7" s="4"/>
      <c r="Y7" s="4"/>
      <c r="Z7" s="4"/>
    </row>
    <row r="8" spans="1:26">
      <c r="A8" s="87" t="s">
        <v>146</v>
      </c>
      <c r="B8" s="88">
        <f>ROUND(Assumptions!D28*Assumptions!D21,0)</f>
        <v>378383</v>
      </c>
      <c r="C8" s="4"/>
      <c r="D8" s="4"/>
      <c r="E8" s="4"/>
      <c r="F8" s="4"/>
      <c r="G8" s="4"/>
      <c r="H8" s="4"/>
      <c r="I8" s="4"/>
      <c r="J8" s="4"/>
      <c r="K8" s="4"/>
      <c r="L8" s="4"/>
      <c r="M8" s="4"/>
      <c r="N8" s="4"/>
      <c r="O8" s="4"/>
      <c r="P8" s="4"/>
      <c r="Q8" s="4"/>
      <c r="R8" s="4"/>
      <c r="S8" s="4"/>
      <c r="T8" s="4"/>
      <c r="U8" s="4"/>
      <c r="V8" s="4"/>
      <c r="W8" s="4"/>
      <c r="X8" s="4"/>
      <c r="Y8" s="4"/>
      <c r="Z8" s="4"/>
    </row>
    <row r="9" spans="1:26">
      <c r="A9" s="87" t="s">
        <v>147</v>
      </c>
      <c r="B9" s="88">
        <f>Assumptions!D29</f>
        <v>262500</v>
      </c>
      <c r="C9" s="4"/>
      <c r="D9" s="4"/>
      <c r="E9" s="4"/>
      <c r="F9" s="4"/>
      <c r="G9" s="4"/>
      <c r="H9" s="4"/>
      <c r="I9" s="4"/>
      <c r="J9" s="4"/>
      <c r="K9" s="4"/>
      <c r="L9" s="4"/>
      <c r="M9" s="4"/>
      <c r="N9" s="4"/>
      <c r="O9" s="4"/>
      <c r="P9" s="4"/>
      <c r="Q9" s="4"/>
      <c r="R9" s="4"/>
      <c r="S9" s="4"/>
      <c r="T9" s="4"/>
      <c r="U9" s="4"/>
      <c r="V9" s="4"/>
      <c r="W9" s="4"/>
      <c r="X9" s="4"/>
      <c r="Y9" s="4"/>
      <c r="Z9" s="4"/>
    </row>
    <row r="10" spans="1:26">
      <c r="A10" s="87" t="s">
        <v>148</v>
      </c>
      <c r="B10" s="88">
        <f>Assumptions!D31</f>
        <v>0</v>
      </c>
      <c r="C10" s="4"/>
      <c r="D10" s="4"/>
      <c r="E10" s="4"/>
      <c r="F10" s="4"/>
      <c r="G10" s="4"/>
      <c r="H10" s="4"/>
      <c r="I10" s="4"/>
      <c r="J10" s="4"/>
      <c r="K10" s="4"/>
      <c r="L10" s="4"/>
      <c r="M10" s="4"/>
      <c r="N10" s="4"/>
      <c r="O10" s="4"/>
      <c r="P10" s="4"/>
      <c r="Q10" s="4"/>
      <c r="R10" s="4"/>
      <c r="S10" s="4"/>
      <c r="T10" s="4"/>
      <c r="U10" s="4"/>
      <c r="V10" s="4"/>
      <c r="W10" s="4"/>
      <c r="X10" s="4"/>
      <c r="Y10" s="4"/>
      <c r="Z10" s="4"/>
    </row>
    <row r="11" spans="1:26">
      <c r="A11" s="87" t="s">
        <v>149</v>
      </c>
      <c r="B11" s="88">
        <f>Assumptions!D30</f>
        <v>0</v>
      </c>
      <c r="C11" s="4"/>
      <c r="D11" s="4"/>
      <c r="E11" s="4"/>
      <c r="F11" s="4"/>
      <c r="G11" s="4"/>
      <c r="H11" s="4"/>
      <c r="I11" s="4"/>
      <c r="J11" s="4"/>
      <c r="K11" s="4"/>
      <c r="L11" s="4"/>
      <c r="M11" s="4"/>
      <c r="N11" s="4"/>
      <c r="O11" s="4"/>
      <c r="P11" s="4"/>
      <c r="Q11" s="4"/>
      <c r="R11" s="4"/>
      <c r="S11" s="4"/>
      <c r="T11" s="4"/>
      <c r="U11" s="4"/>
      <c r="V11" s="4"/>
      <c r="W11" s="4"/>
      <c r="X11" s="4"/>
      <c r="Y11" s="4"/>
      <c r="Z11" s="4"/>
    </row>
    <row r="12" spans="1:26">
      <c r="A12" s="87" t="s">
        <v>150</v>
      </c>
      <c r="B12" s="88">
        <f>Assumptions!D33</f>
        <v>177975.00000000003</v>
      </c>
      <c r="C12" s="4"/>
      <c r="D12" s="4"/>
      <c r="E12" s="4"/>
      <c r="F12" s="4"/>
      <c r="G12" s="4"/>
      <c r="H12" s="4"/>
      <c r="I12" s="4"/>
      <c r="J12" s="4"/>
      <c r="K12" s="4"/>
      <c r="L12" s="4"/>
      <c r="M12" s="4"/>
      <c r="N12" s="4"/>
      <c r="O12" s="4"/>
      <c r="P12" s="4"/>
      <c r="Q12" s="4"/>
      <c r="R12" s="4"/>
      <c r="S12" s="4"/>
      <c r="T12" s="4"/>
      <c r="U12" s="4"/>
      <c r="V12" s="4"/>
      <c r="W12" s="4"/>
      <c r="X12" s="4"/>
      <c r="Y12" s="4"/>
      <c r="Z12" s="4"/>
    </row>
    <row r="13" spans="1:26">
      <c r="A13" s="87" t="s">
        <v>151</v>
      </c>
      <c r="B13" s="88">
        <f>Assumptions!D32</f>
        <v>131130</v>
      </c>
      <c r="C13" s="4"/>
      <c r="D13" s="4"/>
      <c r="E13" s="4"/>
      <c r="F13" s="4"/>
      <c r="G13" s="4"/>
      <c r="H13" s="4"/>
      <c r="I13" s="4"/>
      <c r="J13" s="4"/>
      <c r="K13" s="4"/>
      <c r="L13" s="4"/>
      <c r="M13" s="4"/>
      <c r="N13" s="4"/>
      <c r="O13" s="4"/>
      <c r="P13" s="4"/>
      <c r="Q13" s="4"/>
      <c r="R13" s="4"/>
      <c r="S13" s="4"/>
      <c r="T13" s="4"/>
      <c r="U13" s="4"/>
      <c r="V13" s="4"/>
      <c r="W13" s="4"/>
      <c r="X13" s="4"/>
      <c r="Y13" s="4"/>
      <c r="Z13" s="4"/>
    </row>
    <row r="14" spans="1:26">
      <c r="A14" s="87" t="s">
        <v>152</v>
      </c>
      <c r="B14" s="88">
        <f>Assumptions!D35</f>
        <v>0</v>
      </c>
      <c r="C14" s="4"/>
      <c r="D14" s="4"/>
      <c r="E14" s="4"/>
      <c r="F14" s="4"/>
      <c r="G14" s="4"/>
      <c r="H14" s="4"/>
      <c r="I14" s="4"/>
      <c r="J14" s="4"/>
      <c r="K14" s="4"/>
      <c r="L14" s="4"/>
      <c r="M14" s="4"/>
      <c r="N14" s="4"/>
      <c r="O14" s="4"/>
      <c r="P14" s="4"/>
      <c r="Q14" s="4"/>
      <c r="R14" s="4"/>
      <c r="S14" s="4"/>
      <c r="T14" s="4"/>
      <c r="U14" s="4"/>
      <c r="V14" s="4"/>
      <c r="W14" s="4"/>
      <c r="X14" s="4"/>
      <c r="Y14" s="4"/>
      <c r="Z14" s="4"/>
    </row>
    <row r="15" spans="1:26">
      <c r="A15" s="87" t="s">
        <v>153</v>
      </c>
      <c r="B15" s="89">
        <f>Assumptions!D34</f>
        <v>0</v>
      </c>
      <c r="C15" s="4"/>
      <c r="D15" s="4"/>
      <c r="E15" s="4"/>
      <c r="F15" s="4"/>
      <c r="G15" s="4"/>
      <c r="H15" s="4"/>
      <c r="I15" s="4"/>
      <c r="J15" s="4"/>
      <c r="K15" s="4"/>
      <c r="L15" s="4"/>
      <c r="M15" s="4"/>
      <c r="N15" s="4"/>
      <c r="O15" s="4"/>
      <c r="P15" s="4"/>
      <c r="Q15" s="4"/>
      <c r="R15" s="4"/>
      <c r="S15" s="4"/>
      <c r="T15" s="4"/>
      <c r="U15" s="4"/>
      <c r="V15" s="4"/>
      <c r="W15" s="4"/>
      <c r="X15" s="4"/>
      <c r="Y15" s="4"/>
      <c r="Z15" s="4"/>
    </row>
    <row r="16" spans="1:26">
      <c r="A16" s="85" t="s">
        <v>154</v>
      </c>
      <c r="B16" s="90">
        <f>SUM(B8:B15)</f>
        <v>949988</v>
      </c>
      <c r="C16" s="4"/>
      <c r="D16" s="4"/>
      <c r="E16" s="4"/>
      <c r="F16" s="4"/>
      <c r="G16" s="4"/>
      <c r="H16" s="4"/>
      <c r="I16" s="4"/>
      <c r="J16" s="4"/>
      <c r="K16" s="4"/>
      <c r="L16" s="4"/>
      <c r="M16" s="4"/>
      <c r="N16" s="4"/>
      <c r="O16" s="4"/>
      <c r="P16" s="4"/>
      <c r="Q16" s="4"/>
      <c r="R16" s="4"/>
      <c r="S16" s="4"/>
      <c r="T16" s="4"/>
      <c r="U16" s="4"/>
      <c r="V16" s="4"/>
      <c r="W16" s="4"/>
      <c r="X16" s="4"/>
      <c r="Y16" s="4"/>
      <c r="Z16" s="4"/>
    </row>
    <row r="17" spans="1:26">
      <c r="A17" s="87"/>
      <c r="B17" s="88"/>
      <c r="C17" s="4"/>
      <c r="D17" s="4"/>
      <c r="E17" s="4"/>
      <c r="F17" s="4"/>
      <c r="G17" s="4"/>
      <c r="H17" s="4"/>
      <c r="I17" s="4"/>
      <c r="J17" s="4"/>
      <c r="K17" s="4"/>
      <c r="L17" s="4"/>
      <c r="M17" s="4"/>
      <c r="N17" s="4"/>
      <c r="O17" s="4"/>
      <c r="P17" s="4"/>
      <c r="Q17" s="4"/>
      <c r="R17" s="4"/>
      <c r="S17" s="4"/>
      <c r="T17" s="4"/>
      <c r="U17" s="4"/>
      <c r="V17" s="4"/>
      <c r="W17" s="4"/>
      <c r="X17" s="4"/>
      <c r="Y17" s="4"/>
      <c r="Z17" s="4"/>
    </row>
    <row r="18" spans="1:26">
      <c r="A18" s="85" t="s">
        <v>155</v>
      </c>
      <c r="B18" s="88"/>
      <c r="C18" s="4"/>
      <c r="D18" s="4"/>
      <c r="E18" s="4"/>
      <c r="F18" s="4"/>
      <c r="G18" s="4"/>
      <c r="H18" s="4"/>
      <c r="I18" s="4"/>
      <c r="J18" s="4"/>
      <c r="K18" s="4"/>
      <c r="L18" s="4"/>
      <c r="M18" s="4"/>
      <c r="N18" s="4"/>
      <c r="O18" s="4"/>
      <c r="P18" s="4"/>
      <c r="Q18" s="4"/>
      <c r="R18" s="4"/>
      <c r="S18" s="4"/>
      <c r="T18" s="4"/>
      <c r="U18" s="4"/>
      <c r="V18" s="4"/>
      <c r="W18" s="4"/>
      <c r="X18" s="4"/>
      <c r="Y18" s="4"/>
      <c r="Z18" s="4"/>
    </row>
    <row r="19" spans="1:26">
      <c r="A19" s="87" t="s">
        <v>156</v>
      </c>
      <c r="B19" s="88">
        <f>ROUND(Assumptions!D27*Assumptions!D22,0)</f>
        <v>5527495</v>
      </c>
      <c r="C19" s="4"/>
      <c r="D19" s="4"/>
      <c r="E19" s="4"/>
      <c r="F19" s="4"/>
      <c r="G19" s="4"/>
      <c r="H19" s="4"/>
      <c r="I19" s="4"/>
      <c r="J19" s="4"/>
      <c r="K19" s="4"/>
      <c r="L19" s="4"/>
      <c r="M19" s="4"/>
      <c r="N19" s="4"/>
      <c r="O19" s="4"/>
      <c r="P19" s="4"/>
      <c r="Q19" s="4"/>
      <c r="R19" s="4"/>
      <c r="S19" s="4"/>
      <c r="T19" s="4"/>
      <c r="U19" s="4"/>
      <c r="V19" s="4"/>
      <c r="W19" s="4"/>
      <c r="X19" s="4"/>
      <c r="Y19" s="4"/>
      <c r="Z19" s="4"/>
    </row>
    <row r="20" spans="1:26">
      <c r="A20" s="87" t="s">
        <v>157</v>
      </c>
      <c r="B20" s="88">
        <f>ROUND(Assumptions!D36*Assumptions!D21,0)</f>
        <v>163913</v>
      </c>
      <c r="C20" s="4"/>
      <c r="D20" s="4"/>
      <c r="E20" s="4"/>
      <c r="F20" s="4"/>
      <c r="G20" s="4"/>
      <c r="H20" s="4"/>
      <c r="I20" s="4"/>
      <c r="J20" s="4"/>
      <c r="K20" s="4"/>
      <c r="L20" s="4"/>
      <c r="M20" s="4"/>
      <c r="N20" s="4"/>
      <c r="O20" s="4"/>
      <c r="P20" s="4"/>
      <c r="Q20" s="4"/>
      <c r="R20" s="4"/>
      <c r="S20" s="4"/>
      <c r="T20" s="4"/>
      <c r="U20" s="4"/>
      <c r="V20" s="4"/>
      <c r="W20" s="4"/>
      <c r="X20" s="4"/>
      <c r="Y20" s="4"/>
      <c r="Z20" s="4"/>
    </row>
    <row r="21" spans="1:26">
      <c r="A21" s="87" t="s">
        <v>158</v>
      </c>
      <c r="B21" s="89">
        <f>Assumptions!D38</f>
        <v>0</v>
      </c>
      <c r="C21" s="4"/>
      <c r="D21" s="4"/>
      <c r="E21" s="4"/>
      <c r="F21" s="4"/>
      <c r="G21" s="4"/>
      <c r="H21" s="4"/>
      <c r="I21" s="4"/>
      <c r="J21" s="4"/>
      <c r="K21" s="4"/>
      <c r="L21" s="4"/>
      <c r="M21" s="4"/>
      <c r="N21" s="4"/>
      <c r="O21" s="4"/>
      <c r="P21" s="4"/>
      <c r="Q21" s="4"/>
      <c r="R21" s="4"/>
      <c r="S21" s="4"/>
      <c r="T21" s="4"/>
      <c r="U21" s="4"/>
      <c r="V21" s="4"/>
      <c r="W21" s="4"/>
      <c r="X21" s="4"/>
      <c r="Y21" s="4"/>
      <c r="Z21" s="4"/>
    </row>
    <row r="22" spans="1:26">
      <c r="A22" s="85" t="s">
        <v>159</v>
      </c>
      <c r="B22" s="90">
        <f>SUM(B19:B21)</f>
        <v>5691408</v>
      </c>
      <c r="C22" s="4"/>
      <c r="D22" s="4"/>
      <c r="E22" s="4"/>
      <c r="F22" s="4"/>
      <c r="G22" s="4"/>
      <c r="H22" s="4"/>
      <c r="I22" s="4"/>
      <c r="J22" s="4"/>
      <c r="K22" s="4"/>
      <c r="L22" s="4"/>
      <c r="M22" s="4"/>
      <c r="N22" s="4"/>
      <c r="O22" s="4"/>
      <c r="P22" s="4"/>
      <c r="Q22" s="4"/>
      <c r="R22" s="4"/>
      <c r="S22" s="4"/>
      <c r="T22" s="4"/>
      <c r="U22" s="4"/>
      <c r="V22" s="4"/>
      <c r="W22" s="4"/>
      <c r="X22" s="4"/>
      <c r="Y22" s="4"/>
      <c r="Z22" s="4"/>
    </row>
    <row r="23" spans="1:26">
      <c r="A23" s="87"/>
      <c r="B23" s="88"/>
      <c r="C23" s="4"/>
      <c r="D23" s="4"/>
      <c r="E23" s="4"/>
      <c r="F23" s="4"/>
      <c r="G23" s="4"/>
      <c r="H23" s="4"/>
      <c r="I23" s="4"/>
      <c r="J23" s="4"/>
      <c r="K23" s="4"/>
      <c r="L23" s="4"/>
      <c r="M23" s="4"/>
      <c r="N23" s="4"/>
      <c r="O23" s="4"/>
      <c r="P23" s="4"/>
      <c r="Q23" s="4"/>
      <c r="R23" s="4"/>
      <c r="S23" s="4"/>
      <c r="T23" s="4"/>
      <c r="U23" s="4"/>
      <c r="V23" s="4"/>
      <c r="W23" s="4"/>
      <c r="X23" s="4"/>
      <c r="Y23" s="4"/>
      <c r="Z23" s="4"/>
    </row>
    <row r="24" spans="1:26">
      <c r="A24" s="85" t="s">
        <v>160</v>
      </c>
      <c r="B24" s="88"/>
      <c r="C24" s="4"/>
      <c r="D24" s="4"/>
      <c r="E24" s="4"/>
      <c r="F24" s="4"/>
      <c r="G24" s="4"/>
      <c r="H24" s="4"/>
      <c r="I24" s="4"/>
      <c r="J24" s="4"/>
      <c r="K24" s="4"/>
      <c r="L24" s="4"/>
      <c r="M24" s="4"/>
      <c r="N24" s="4"/>
      <c r="O24" s="4"/>
      <c r="P24" s="4"/>
      <c r="Q24" s="4"/>
      <c r="R24" s="4"/>
      <c r="S24" s="4"/>
      <c r="T24" s="4"/>
      <c r="U24" s="4"/>
      <c r="V24" s="4"/>
      <c r="W24" s="4"/>
      <c r="X24" s="4"/>
      <c r="Y24" s="4"/>
      <c r="Z24" s="4"/>
    </row>
    <row r="25" spans="1:26">
      <c r="A25" s="87" t="s">
        <v>161</v>
      </c>
      <c r="B25" s="89">
        <f>Assumptions!D37</f>
        <v>0</v>
      </c>
      <c r="C25" s="4"/>
      <c r="D25" s="4"/>
      <c r="E25" s="4"/>
      <c r="F25" s="4"/>
      <c r="G25" s="4"/>
      <c r="H25" s="4"/>
      <c r="I25" s="4"/>
      <c r="J25" s="4"/>
      <c r="K25" s="4"/>
      <c r="L25" s="4"/>
      <c r="M25" s="4"/>
      <c r="N25" s="4"/>
      <c r="O25" s="4"/>
      <c r="P25" s="4"/>
      <c r="Q25" s="4"/>
      <c r="R25" s="4"/>
      <c r="S25" s="4"/>
      <c r="T25" s="4"/>
      <c r="U25" s="4"/>
      <c r="V25" s="4"/>
      <c r="W25" s="4"/>
      <c r="X25" s="4"/>
      <c r="Y25" s="4"/>
      <c r="Z25" s="4"/>
    </row>
    <row r="26" spans="1:26">
      <c r="A26" s="85" t="s">
        <v>162</v>
      </c>
      <c r="B26" s="90">
        <f>SUM(B25)</f>
        <v>0</v>
      </c>
      <c r="C26" s="4"/>
      <c r="D26" s="4"/>
      <c r="E26" s="4"/>
      <c r="F26" s="4"/>
      <c r="G26" s="4"/>
      <c r="H26" s="4"/>
      <c r="I26" s="4"/>
      <c r="J26" s="4"/>
      <c r="K26" s="4"/>
      <c r="L26" s="4"/>
      <c r="M26" s="4"/>
      <c r="N26" s="4"/>
      <c r="O26" s="4"/>
      <c r="P26" s="4"/>
      <c r="Q26" s="4"/>
      <c r="R26" s="4"/>
      <c r="S26" s="4"/>
      <c r="T26" s="4"/>
      <c r="U26" s="4"/>
      <c r="V26" s="4"/>
      <c r="W26" s="4"/>
      <c r="X26" s="4"/>
      <c r="Y26" s="4"/>
      <c r="Z26" s="4"/>
    </row>
    <row r="27" spans="1:26">
      <c r="A27" s="85"/>
      <c r="B27" s="90"/>
      <c r="C27" s="4"/>
      <c r="D27" s="4"/>
      <c r="E27" s="4"/>
      <c r="F27" s="4"/>
      <c r="G27" s="4"/>
      <c r="H27" s="4"/>
      <c r="I27" s="4"/>
      <c r="J27" s="4"/>
      <c r="K27" s="4"/>
      <c r="L27" s="4"/>
      <c r="M27" s="4"/>
      <c r="N27" s="4"/>
      <c r="O27" s="4"/>
      <c r="P27" s="4"/>
      <c r="Q27" s="4"/>
      <c r="R27" s="4"/>
      <c r="S27" s="4"/>
      <c r="T27" s="4"/>
      <c r="U27" s="4"/>
      <c r="V27" s="4"/>
      <c r="W27" s="4"/>
      <c r="X27" s="4"/>
      <c r="Y27" s="4"/>
      <c r="Z27" s="4"/>
    </row>
    <row r="28" spans="1:26" ht="15.75">
      <c r="A28" s="91" t="s">
        <v>163</v>
      </c>
      <c r="B28" s="92">
        <f>SUM(B16,B22,B26)</f>
        <v>6641396</v>
      </c>
      <c r="C28" s="4"/>
      <c r="D28" s="4"/>
      <c r="E28" s="4"/>
      <c r="F28" s="4"/>
      <c r="G28" s="4"/>
      <c r="H28" s="4"/>
      <c r="I28" s="4"/>
      <c r="J28" s="4"/>
      <c r="K28" s="4"/>
      <c r="L28" s="4"/>
      <c r="M28" s="4"/>
      <c r="N28" s="4"/>
      <c r="O28" s="4"/>
      <c r="P28" s="4"/>
      <c r="Q28" s="4"/>
      <c r="R28" s="4"/>
      <c r="S28" s="4"/>
      <c r="T28" s="4"/>
      <c r="U28" s="4"/>
      <c r="V28" s="4"/>
      <c r="W28" s="93">
        <f>(Assumptions!D27*Assumptions!D22+Assumptions!D28*Assumptions!D21+Assumptions!D36*Assumptions!D22+Assumptions!D29+Assumptions!D30+Assumptions!D31+Assumptions!D32+Assumptions!D33+Assumptions!D34+Assumptions!D35+Assumptions!D37+Assumptions!D38)-'Year 0'!$B$28</f>
        <v>6643645.6600000001</v>
      </c>
      <c r="X28" s="4" t="s">
        <v>164</v>
      </c>
      <c r="Y28" s="4"/>
      <c r="Z28" s="4"/>
    </row>
    <row r="29" spans="1:26">
      <c r="A29" s="4"/>
      <c r="B29" s="88"/>
      <c r="C29" s="4"/>
      <c r="D29" s="4"/>
      <c r="E29" s="4"/>
      <c r="F29" s="4"/>
      <c r="G29" s="4"/>
      <c r="H29" s="4"/>
      <c r="I29" s="4"/>
      <c r="J29" s="4"/>
      <c r="K29" s="4"/>
      <c r="L29" s="4"/>
      <c r="M29" s="4"/>
      <c r="N29" s="4"/>
      <c r="O29" s="4"/>
      <c r="P29" s="4"/>
      <c r="Q29" s="4"/>
      <c r="R29" s="4"/>
      <c r="S29" s="4"/>
      <c r="T29" s="4"/>
      <c r="U29" s="4"/>
      <c r="V29" s="4"/>
      <c r="W29" s="4"/>
      <c r="X29" s="4"/>
      <c r="Y29" s="4"/>
      <c r="Z29" s="4"/>
    </row>
    <row r="30" spans="1:26" ht="18.75">
      <c r="A30" s="94" t="s">
        <v>165</v>
      </c>
      <c r="B30" s="95"/>
      <c r="C30" s="4"/>
      <c r="D30" s="4"/>
      <c r="E30" s="4"/>
      <c r="F30" s="4"/>
      <c r="G30" s="4"/>
      <c r="H30" s="4"/>
      <c r="I30" s="4"/>
      <c r="J30" s="4"/>
      <c r="K30" s="4"/>
      <c r="L30" s="4"/>
      <c r="M30" s="4"/>
      <c r="N30" s="4"/>
      <c r="O30" s="4"/>
      <c r="P30" s="4"/>
      <c r="Q30" s="4"/>
      <c r="R30" s="4"/>
      <c r="S30" s="4"/>
      <c r="T30" s="4"/>
      <c r="U30" s="4"/>
      <c r="V30" s="4"/>
      <c r="W30" s="4"/>
      <c r="X30" s="4"/>
      <c r="Y30" s="4"/>
      <c r="Z30" s="4"/>
    </row>
    <row r="31" spans="1:26">
      <c r="A31" s="85" t="s">
        <v>166</v>
      </c>
      <c r="B31" s="88"/>
      <c r="C31" s="4"/>
      <c r="D31" s="4"/>
      <c r="E31" s="4"/>
      <c r="F31" s="4"/>
      <c r="G31" s="4"/>
      <c r="H31" s="4"/>
      <c r="I31" s="4"/>
      <c r="J31" s="4"/>
      <c r="K31" s="4"/>
      <c r="L31" s="4"/>
      <c r="M31" s="4"/>
      <c r="N31" s="4"/>
      <c r="O31" s="4"/>
      <c r="P31" s="4"/>
      <c r="Q31" s="4"/>
      <c r="R31" s="4"/>
      <c r="S31" s="4"/>
      <c r="T31" s="4"/>
      <c r="U31" s="4"/>
      <c r="V31" s="4"/>
      <c r="W31" s="4"/>
      <c r="X31" s="4"/>
      <c r="Y31" s="4"/>
      <c r="Z31" s="4"/>
    </row>
    <row r="32" spans="1:26">
      <c r="A32" s="87" t="s">
        <v>167</v>
      </c>
      <c r="B32" s="88">
        <f>Assumptions!D41</f>
        <v>1764600</v>
      </c>
      <c r="C32" s="4"/>
      <c r="D32" s="4"/>
      <c r="E32" s="4"/>
      <c r="F32" s="4"/>
      <c r="G32" s="4"/>
      <c r="H32" s="4"/>
      <c r="I32" s="4"/>
      <c r="J32" s="4"/>
      <c r="K32" s="4"/>
      <c r="L32" s="4"/>
      <c r="M32" s="4"/>
      <c r="N32" s="4"/>
      <c r="O32" s="4"/>
      <c r="P32" s="4"/>
      <c r="Q32" s="4"/>
      <c r="R32" s="4"/>
      <c r="S32" s="4"/>
      <c r="T32" s="4"/>
      <c r="U32" s="4"/>
      <c r="V32" s="4"/>
      <c r="W32" s="4"/>
      <c r="X32" s="4"/>
      <c r="Y32" s="4"/>
      <c r="Z32" s="4"/>
    </row>
    <row r="33" spans="1:26">
      <c r="A33" s="87" t="s">
        <v>168</v>
      </c>
      <c r="B33" s="89">
        <f>Assumptions!D42</f>
        <v>117300</v>
      </c>
      <c r="C33" s="4"/>
      <c r="D33" s="4"/>
      <c r="E33" s="4"/>
      <c r="F33" s="4"/>
      <c r="G33" s="4"/>
      <c r="H33" s="4"/>
      <c r="I33" s="4"/>
      <c r="J33" s="4"/>
      <c r="K33" s="4"/>
      <c r="L33" s="4"/>
      <c r="M33" s="4"/>
      <c r="N33" s="4"/>
      <c r="O33" s="4"/>
      <c r="P33" s="4"/>
      <c r="Q33" s="4"/>
      <c r="R33" s="4"/>
      <c r="S33" s="4"/>
      <c r="T33" s="4"/>
      <c r="U33" s="4"/>
      <c r="V33" s="4"/>
      <c r="W33" s="4"/>
      <c r="X33" s="4"/>
      <c r="Y33" s="4"/>
      <c r="Z33" s="4"/>
    </row>
    <row r="34" spans="1:26">
      <c r="A34" s="85" t="s">
        <v>169</v>
      </c>
      <c r="B34" s="90">
        <f>SUM(B32:B33)</f>
        <v>1881900</v>
      </c>
      <c r="C34" s="4"/>
      <c r="D34" s="4"/>
      <c r="E34" s="4"/>
      <c r="F34" s="4"/>
      <c r="G34" s="4"/>
      <c r="H34" s="4"/>
      <c r="I34" s="4"/>
      <c r="J34" s="4"/>
      <c r="K34" s="4"/>
      <c r="L34" s="4"/>
      <c r="M34" s="4"/>
      <c r="N34" s="4"/>
      <c r="O34" s="4"/>
      <c r="P34" s="4"/>
      <c r="Q34" s="4"/>
      <c r="R34" s="4"/>
      <c r="S34" s="4"/>
      <c r="T34" s="4"/>
      <c r="U34" s="4"/>
      <c r="V34" s="4"/>
      <c r="W34" s="4"/>
      <c r="X34" s="4"/>
      <c r="Y34" s="4"/>
      <c r="Z34" s="4"/>
    </row>
    <row r="35" spans="1:26">
      <c r="A35" s="85" t="s">
        <v>170</v>
      </c>
      <c r="B35" s="88"/>
      <c r="C35" s="4"/>
      <c r="D35" s="4"/>
      <c r="E35" s="4"/>
      <c r="F35" s="4"/>
      <c r="G35" s="4"/>
      <c r="H35" s="4"/>
      <c r="I35" s="4"/>
      <c r="J35" s="4"/>
      <c r="K35" s="4"/>
      <c r="L35" s="4"/>
      <c r="M35" s="4"/>
      <c r="N35" s="4"/>
      <c r="O35" s="4"/>
      <c r="P35" s="4"/>
      <c r="Q35" s="4"/>
      <c r="R35" s="4"/>
      <c r="S35" s="4"/>
      <c r="T35" s="4"/>
      <c r="U35" s="4"/>
      <c r="V35" s="4"/>
      <c r="W35" s="4"/>
      <c r="X35" s="4"/>
      <c r="Y35" s="4"/>
      <c r="Z35" s="4"/>
    </row>
    <row r="36" spans="1:26">
      <c r="A36" s="87" t="s">
        <v>9</v>
      </c>
      <c r="B36" s="88">
        <f>Assumptions!D46</f>
        <v>255100</v>
      </c>
      <c r="C36" s="4"/>
      <c r="D36" s="4"/>
      <c r="E36" s="4"/>
      <c r="F36" s="4"/>
      <c r="G36" s="4"/>
      <c r="H36" s="4"/>
      <c r="I36" s="4"/>
      <c r="J36" s="4"/>
      <c r="K36" s="4"/>
      <c r="L36" s="4"/>
      <c r="M36" s="4"/>
      <c r="N36" s="4"/>
      <c r="O36" s="4"/>
      <c r="P36" s="4"/>
      <c r="Q36" s="4"/>
      <c r="R36" s="4"/>
      <c r="S36" s="4"/>
      <c r="T36" s="4"/>
      <c r="U36" s="4"/>
      <c r="V36" s="4"/>
      <c r="W36" s="4"/>
      <c r="X36" s="4"/>
      <c r="Y36" s="4"/>
      <c r="Z36" s="4"/>
    </row>
    <row r="37" spans="1:26">
      <c r="A37" s="87" t="s">
        <v>171</v>
      </c>
      <c r="B37" s="88">
        <f>Assumptions!D47</f>
        <v>0</v>
      </c>
      <c r="C37" s="4"/>
      <c r="D37" s="4"/>
      <c r="E37" s="4"/>
      <c r="F37" s="4"/>
      <c r="G37" s="4"/>
      <c r="H37" s="4"/>
      <c r="I37" s="4"/>
      <c r="J37" s="4"/>
      <c r="K37" s="4"/>
      <c r="L37" s="4"/>
      <c r="M37" s="4"/>
      <c r="N37" s="4"/>
      <c r="O37" s="4"/>
      <c r="P37" s="4"/>
      <c r="Q37" s="4"/>
      <c r="R37" s="4"/>
      <c r="S37" s="4"/>
      <c r="T37" s="4"/>
      <c r="U37" s="4"/>
      <c r="V37" s="4"/>
      <c r="W37" s="4"/>
      <c r="X37" s="4"/>
      <c r="Y37" s="4"/>
      <c r="Z37" s="4"/>
    </row>
    <row r="38" spans="1:26">
      <c r="A38" s="87" t="s">
        <v>172</v>
      </c>
      <c r="B38" s="88">
        <f>Assumptions!D48</f>
        <v>38760</v>
      </c>
      <c r="C38" s="4"/>
      <c r="D38" s="4"/>
      <c r="E38" s="4"/>
      <c r="F38" s="4"/>
      <c r="G38" s="4"/>
      <c r="H38" s="4"/>
      <c r="I38" s="4"/>
      <c r="J38" s="4"/>
      <c r="K38" s="4"/>
      <c r="L38" s="4"/>
      <c r="M38" s="4"/>
      <c r="N38" s="4"/>
      <c r="O38" s="4"/>
      <c r="P38" s="4"/>
      <c r="Q38" s="4"/>
      <c r="R38" s="4"/>
      <c r="S38" s="4"/>
      <c r="T38" s="4"/>
      <c r="U38" s="4"/>
      <c r="V38" s="4"/>
      <c r="W38" s="4"/>
      <c r="X38" s="4"/>
      <c r="Y38" s="4"/>
      <c r="Z38" s="4"/>
    </row>
    <row r="39" spans="1:26">
      <c r="A39" s="87" t="s">
        <v>173</v>
      </c>
      <c r="B39" s="89">
        <f>Assumptions!D49</f>
        <v>226154.4</v>
      </c>
      <c r="C39" s="4"/>
      <c r="D39" s="4"/>
      <c r="E39" s="4"/>
      <c r="F39" s="4"/>
      <c r="G39" s="4"/>
      <c r="H39" s="4"/>
      <c r="I39" s="4"/>
      <c r="J39" s="4"/>
      <c r="K39" s="4"/>
      <c r="L39" s="4"/>
      <c r="M39" s="4"/>
      <c r="N39" s="4"/>
      <c r="O39" s="4"/>
      <c r="P39" s="4"/>
      <c r="Q39" s="4"/>
      <c r="R39" s="4"/>
      <c r="S39" s="4"/>
      <c r="T39" s="4"/>
      <c r="U39" s="4"/>
      <c r="V39" s="4"/>
      <c r="W39" s="4"/>
      <c r="X39" s="4"/>
      <c r="Y39" s="4"/>
      <c r="Z39" s="4"/>
    </row>
    <row r="40" spans="1:26">
      <c r="A40" s="85" t="s">
        <v>174</v>
      </c>
      <c r="B40" s="90">
        <f>SUM(B36:B39)</f>
        <v>520014.4</v>
      </c>
      <c r="C40" s="4"/>
      <c r="D40" s="4"/>
      <c r="E40" s="4"/>
      <c r="F40" s="4"/>
      <c r="G40" s="4"/>
      <c r="H40" s="4"/>
      <c r="I40" s="4"/>
      <c r="J40" s="4"/>
      <c r="K40" s="4"/>
      <c r="L40" s="4"/>
      <c r="M40" s="4"/>
      <c r="N40" s="4"/>
      <c r="O40" s="4"/>
      <c r="P40" s="4"/>
      <c r="Q40" s="4"/>
      <c r="R40" s="4"/>
      <c r="S40" s="4"/>
      <c r="T40" s="4"/>
      <c r="U40" s="4"/>
      <c r="V40" s="4"/>
      <c r="W40" s="4"/>
      <c r="X40" s="4"/>
      <c r="Y40" s="4"/>
      <c r="Z40" s="4"/>
    </row>
    <row r="41" spans="1:26">
      <c r="A41" s="85" t="s">
        <v>175</v>
      </c>
      <c r="B41" s="90"/>
      <c r="C41" s="4"/>
      <c r="D41" s="4"/>
      <c r="E41" s="4"/>
      <c r="F41" s="4"/>
      <c r="G41" s="4"/>
      <c r="H41" s="4"/>
      <c r="I41" s="4"/>
      <c r="J41" s="4"/>
      <c r="K41" s="4"/>
      <c r="L41" s="4"/>
      <c r="M41" s="4"/>
      <c r="N41" s="4"/>
      <c r="O41" s="4"/>
      <c r="P41" s="4"/>
      <c r="Q41" s="4"/>
      <c r="R41" s="4"/>
      <c r="S41" s="4"/>
      <c r="T41" s="4"/>
      <c r="U41" s="4"/>
      <c r="V41" s="4"/>
      <c r="W41" s="4"/>
      <c r="X41" s="4"/>
      <c r="Y41" s="4"/>
      <c r="Z41" s="4"/>
    </row>
    <row r="42" spans="1:26">
      <c r="A42" s="87" t="s">
        <v>176</v>
      </c>
      <c r="B42" s="88">
        <f>Assumptions!D53</f>
        <v>48000</v>
      </c>
      <c r="C42" s="4"/>
      <c r="D42" s="4"/>
      <c r="E42" s="4"/>
      <c r="F42" s="4"/>
      <c r="G42" s="4"/>
      <c r="H42" s="4"/>
      <c r="I42" s="4"/>
      <c r="J42" s="4"/>
      <c r="K42" s="4"/>
      <c r="L42" s="4"/>
      <c r="M42" s="4"/>
      <c r="N42" s="4"/>
      <c r="O42" s="4"/>
      <c r="P42" s="4"/>
      <c r="Q42" s="4"/>
      <c r="R42" s="4"/>
      <c r="S42" s="4"/>
      <c r="T42" s="4"/>
      <c r="U42" s="4"/>
      <c r="V42" s="4"/>
      <c r="W42" s="4"/>
      <c r="X42" s="4"/>
      <c r="Y42" s="4"/>
      <c r="Z42" s="4"/>
    </row>
    <row r="43" spans="1:26">
      <c r="A43" s="87" t="s">
        <v>177</v>
      </c>
      <c r="B43" s="88">
        <f>Assumptions!D54</f>
        <v>31500</v>
      </c>
      <c r="C43" s="4"/>
      <c r="D43" s="4"/>
      <c r="E43" s="4"/>
      <c r="F43" s="4"/>
      <c r="G43" s="4"/>
      <c r="H43" s="4"/>
      <c r="I43" s="4"/>
      <c r="J43" s="4"/>
      <c r="K43" s="4"/>
      <c r="L43" s="4"/>
      <c r="M43" s="4"/>
      <c r="N43" s="4"/>
      <c r="O43" s="4"/>
      <c r="P43" s="4"/>
      <c r="Q43" s="4"/>
      <c r="R43" s="4"/>
      <c r="S43" s="4"/>
      <c r="T43" s="4"/>
      <c r="U43" s="4"/>
      <c r="V43" s="4"/>
      <c r="W43" s="4"/>
      <c r="X43" s="4"/>
      <c r="Y43" s="4"/>
      <c r="Z43" s="4"/>
    </row>
    <row r="44" spans="1:26">
      <c r="A44" s="87" t="s">
        <v>178</v>
      </c>
      <c r="B44" s="89">
        <f>Assumptions!D55*Assumptions!D57*Assumptions!D56</f>
        <v>36900</v>
      </c>
      <c r="C44" s="4"/>
      <c r="D44" s="4"/>
      <c r="E44" s="4"/>
      <c r="F44" s="4"/>
      <c r="G44" s="4"/>
      <c r="H44" s="4"/>
      <c r="I44" s="4"/>
      <c r="J44" s="4"/>
      <c r="K44" s="4"/>
      <c r="L44" s="4"/>
      <c r="M44" s="4"/>
      <c r="N44" s="4"/>
      <c r="O44" s="4"/>
      <c r="P44" s="4"/>
      <c r="Q44" s="4"/>
      <c r="R44" s="4"/>
      <c r="S44" s="4"/>
      <c r="T44" s="4"/>
      <c r="U44" s="4"/>
      <c r="V44" s="4"/>
      <c r="W44" s="4"/>
      <c r="X44" s="4"/>
      <c r="Y44" s="4"/>
      <c r="Z44" s="4"/>
    </row>
    <row r="45" spans="1:26">
      <c r="A45" s="85" t="s">
        <v>179</v>
      </c>
      <c r="B45" s="90">
        <f>SUM(B42:B44)</f>
        <v>116400</v>
      </c>
      <c r="C45" s="4"/>
      <c r="D45" s="4"/>
      <c r="E45" s="4"/>
      <c r="F45" s="4"/>
      <c r="G45" s="4"/>
      <c r="H45" s="4"/>
      <c r="I45" s="4"/>
      <c r="J45" s="4"/>
      <c r="K45" s="4"/>
      <c r="L45" s="4"/>
      <c r="M45" s="4"/>
      <c r="N45" s="4"/>
      <c r="O45" s="4"/>
      <c r="P45" s="4"/>
      <c r="Q45" s="4"/>
      <c r="R45" s="4"/>
      <c r="S45" s="4"/>
      <c r="T45" s="4"/>
      <c r="U45" s="4"/>
      <c r="V45" s="4"/>
      <c r="W45" s="96">
        <f>(Assumptions!D55*Assumptions!D56*Assumptions!D57+Assumptions!D54+Assumptions!D53+Assumptions!D49+Assumptions!D48+Assumptions!D47+Assumptions!D46+Assumptions!D42+Assumptions!D41)-'Year 1'!$B$45-'Year 1'!$B$40-'Year 1'!$B$34</f>
        <v>888554.39999999991</v>
      </c>
      <c r="X45" s="4"/>
      <c r="Y45" s="4"/>
      <c r="Z45" s="4"/>
    </row>
    <row r="46" spans="1:26">
      <c r="A46" s="85" t="s">
        <v>180</v>
      </c>
      <c r="B46" s="88"/>
      <c r="C46" s="4"/>
      <c r="D46" s="4"/>
      <c r="E46" s="4"/>
      <c r="F46" s="4"/>
      <c r="G46" s="4"/>
      <c r="H46" s="4"/>
      <c r="I46" s="4"/>
      <c r="J46" s="4"/>
      <c r="K46" s="4"/>
      <c r="L46" s="4"/>
      <c r="M46" s="4"/>
      <c r="N46" s="4"/>
      <c r="O46" s="4"/>
      <c r="P46" s="4"/>
      <c r="Q46" s="4"/>
      <c r="R46" s="4"/>
      <c r="S46" s="4"/>
      <c r="T46" s="4"/>
      <c r="U46" s="4"/>
      <c r="V46" s="4"/>
      <c r="W46" s="4"/>
      <c r="X46" s="4"/>
      <c r="Y46" s="4"/>
      <c r="Z46" s="4"/>
    </row>
    <row r="47" spans="1:26">
      <c r="A47" s="87" t="s">
        <v>181</v>
      </c>
      <c r="B47" s="88">
        <f>ROUND((B34+B40+B45)*Assumptions!D60,0)</f>
        <v>507440</v>
      </c>
      <c r="C47" s="4"/>
      <c r="D47" s="4"/>
      <c r="E47" s="4"/>
      <c r="F47" s="4"/>
      <c r="G47" s="4"/>
      <c r="H47" s="4"/>
      <c r="I47" s="4"/>
      <c r="J47" s="4"/>
      <c r="K47" s="4"/>
      <c r="L47" s="4"/>
      <c r="M47" s="4"/>
      <c r="N47" s="4"/>
      <c r="O47" s="4"/>
      <c r="P47" s="4"/>
      <c r="Q47" s="4"/>
      <c r="R47" s="4"/>
      <c r="S47" s="4"/>
      <c r="T47" s="4"/>
      <c r="U47" s="4"/>
      <c r="V47" s="4"/>
      <c r="W47" s="4"/>
      <c r="X47" s="4"/>
      <c r="Y47" s="4"/>
      <c r="Z47" s="4"/>
    </row>
    <row r="48" spans="1:26">
      <c r="A48" s="87" t="s">
        <v>182</v>
      </c>
      <c r="B48" s="88">
        <f>ROUND((B34+B40+B45)*Assumptions!D61,0)</f>
        <v>36516</v>
      </c>
      <c r="C48" s="4"/>
      <c r="D48" s="78"/>
      <c r="E48" s="4"/>
      <c r="F48" s="4"/>
      <c r="G48" s="4"/>
      <c r="H48" s="4"/>
      <c r="I48" s="4"/>
      <c r="J48" s="4"/>
      <c r="K48" s="4"/>
      <c r="L48" s="4"/>
      <c r="M48" s="4"/>
      <c r="N48" s="4"/>
      <c r="O48" s="4"/>
      <c r="P48" s="4"/>
      <c r="Q48" s="4"/>
      <c r="R48" s="4"/>
      <c r="S48" s="4"/>
      <c r="T48" s="4"/>
      <c r="U48" s="4"/>
      <c r="V48" s="4"/>
      <c r="W48" s="4"/>
      <c r="X48" s="4"/>
      <c r="Y48" s="4"/>
      <c r="Z48" s="4"/>
    </row>
    <row r="49" spans="1:26">
      <c r="A49" s="87" t="s">
        <v>183</v>
      </c>
      <c r="B49" s="88">
        <f>ROUND((Assumptions!$D$43+Assumptions!$D$50)*Assumptions!D62,0)</f>
        <v>240500</v>
      </c>
      <c r="C49" s="4"/>
      <c r="D49" s="4"/>
      <c r="E49" s="4"/>
      <c r="F49" s="4"/>
      <c r="G49" s="4"/>
      <c r="H49" s="4"/>
      <c r="I49" s="4"/>
      <c r="J49" s="4"/>
      <c r="K49" s="4"/>
      <c r="L49" s="4"/>
      <c r="M49" s="4"/>
      <c r="N49" s="4"/>
      <c r="O49" s="4"/>
      <c r="P49" s="4"/>
      <c r="Q49" s="4"/>
      <c r="R49" s="4"/>
      <c r="S49" s="4"/>
      <c r="T49" s="4"/>
      <c r="U49" s="4"/>
      <c r="V49" s="4"/>
      <c r="W49" s="4"/>
      <c r="X49" s="4"/>
      <c r="Y49" s="4"/>
      <c r="Z49" s="4"/>
    </row>
    <row r="50" spans="1:26">
      <c r="A50" s="87" t="s">
        <v>184</v>
      </c>
      <c r="B50" s="88">
        <f>ROUND((Assumptions!$D$43+Assumptions!$D$50)*Assumptions!D63,0)</f>
        <v>14625</v>
      </c>
      <c r="C50" s="4"/>
      <c r="D50" s="4"/>
      <c r="E50" s="4"/>
      <c r="F50" s="4"/>
      <c r="G50" s="4"/>
      <c r="H50" s="4"/>
      <c r="I50" s="4"/>
      <c r="J50" s="4"/>
      <c r="K50" s="4"/>
      <c r="L50" s="4"/>
      <c r="M50" s="4"/>
      <c r="N50" s="4"/>
      <c r="O50" s="4"/>
      <c r="P50" s="4"/>
      <c r="Q50" s="4"/>
      <c r="R50" s="4"/>
      <c r="S50" s="4"/>
      <c r="T50" s="4"/>
      <c r="U50" s="4"/>
      <c r="V50" s="4"/>
      <c r="W50" s="4"/>
      <c r="X50" s="4"/>
      <c r="Y50" s="4"/>
      <c r="Z50" s="4"/>
    </row>
    <row r="51" spans="1:26">
      <c r="A51" s="87" t="s">
        <v>185</v>
      </c>
      <c r="B51" s="88">
        <f>ROUND((Assumptions!$D$43+Assumptions!$D$50)*Assumptions!D64,0)</f>
        <v>0</v>
      </c>
      <c r="C51" s="4"/>
      <c r="D51" s="4"/>
      <c r="E51" s="4"/>
      <c r="F51" s="4"/>
      <c r="G51" s="4"/>
      <c r="H51" s="4"/>
      <c r="I51" s="4"/>
      <c r="J51" s="4"/>
      <c r="K51" s="4"/>
      <c r="L51" s="4"/>
      <c r="M51" s="4"/>
      <c r="N51" s="4"/>
      <c r="O51" s="4"/>
      <c r="P51" s="4"/>
      <c r="Q51" s="4"/>
      <c r="R51" s="4"/>
      <c r="S51" s="4"/>
      <c r="T51" s="4"/>
      <c r="U51" s="4"/>
      <c r="V51" s="4"/>
      <c r="W51" s="4"/>
      <c r="X51" s="4"/>
      <c r="Y51" s="4"/>
      <c r="Z51" s="4"/>
    </row>
    <row r="52" spans="1:26">
      <c r="A52" s="65" t="s">
        <v>186</v>
      </c>
      <c r="B52" s="88">
        <f>ROUND((Assumptions!$D$43+Assumptions!$D$50)*Assumptions!D65,0)</f>
        <v>3250</v>
      </c>
      <c r="C52" s="4"/>
      <c r="D52" s="4"/>
      <c r="E52" s="4"/>
      <c r="F52" s="4"/>
      <c r="G52" s="4"/>
      <c r="H52" s="4"/>
      <c r="I52" s="4"/>
      <c r="J52" s="4"/>
      <c r="K52" s="4"/>
      <c r="L52" s="4"/>
      <c r="M52" s="4"/>
      <c r="N52" s="4"/>
      <c r="O52" s="4"/>
      <c r="P52" s="4"/>
      <c r="Q52" s="4"/>
      <c r="R52" s="4"/>
      <c r="S52" s="4"/>
      <c r="T52" s="4"/>
      <c r="U52" s="4"/>
      <c r="V52" s="4"/>
      <c r="W52" s="4"/>
      <c r="X52" s="4"/>
      <c r="Y52" s="4"/>
      <c r="Z52" s="4"/>
    </row>
    <row r="53" spans="1:26">
      <c r="A53" s="87" t="s">
        <v>33</v>
      </c>
      <c r="B53" s="89">
        <f>ROUND((Assumptions!$D$43+Assumptions!$D$50)*Assumptions!D66,0)</f>
        <v>0</v>
      </c>
      <c r="C53" s="4"/>
      <c r="D53" s="4"/>
      <c r="E53" s="4"/>
      <c r="F53" s="4"/>
      <c r="G53" s="4"/>
      <c r="H53" s="4"/>
      <c r="I53" s="4"/>
      <c r="J53" s="4"/>
      <c r="K53" s="4"/>
      <c r="L53" s="4"/>
      <c r="M53" s="4"/>
      <c r="N53" s="4"/>
      <c r="O53" s="4"/>
      <c r="P53" s="4"/>
      <c r="Q53" s="4"/>
      <c r="R53" s="4"/>
      <c r="S53" s="4"/>
      <c r="T53" s="4"/>
      <c r="U53" s="4"/>
      <c r="V53" s="4"/>
      <c r="W53" s="4"/>
      <c r="X53" s="4"/>
      <c r="Y53" s="4"/>
      <c r="Z53" s="4"/>
    </row>
    <row r="54" spans="1:26">
      <c r="A54" s="85" t="s">
        <v>266</v>
      </c>
      <c r="B54" s="98">
        <f>SUM(B47:B53)</f>
        <v>802331</v>
      </c>
      <c r="C54" s="4"/>
      <c r="D54" s="4"/>
      <c r="E54" s="4"/>
      <c r="F54" s="4"/>
      <c r="G54" s="4"/>
      <c r="H54" s="4"/>
      <c r="I54" s="4"/>
      <c r="J54" s="4"/>
      <c r="K54" s="4"/>
      <c r="L54" s="4"/>
      <c r="M54" s="4"/>
      <c r="N54" s="4"/>
      <c r="O54" s="4"/>
      <c r="P54" s="4"/>
      <c r="Q54" s="4"/>
      <c r="R54" s="4"/>
      <c r="S54" s="4"/>
      <c r="T54" s="4"/>
      <c r="U54" s="4"/>
      <c r="V54" s="4"/>
      <c r="W54" s="4"/>
      <c r="X54" s="4"/>
      <c r="Y54" s="4"/>
      <c r="Z54" s="4"/>
    </row>
    <row r="55" spans="1:26">
      <c r="A55" s="85" t="s">
        <v>188</v>
      </c>
      <c r="B55" s="90">
        <f>B34+B40+B54+B45</f>
        <v>3320645.4</v>
      </c>
      <c r="C55" s="4"/>
      <c r="D55" s="4"/>
      <c r="E55" s="4"/>
      <c r="F55" s="4"/>
      <c r="G55" s="4"/>
      <c r="H55" s="4"/>
      <c r="I55" s="4"/>
      <c r="J55" s="4"/>
      <c r="K55" s="4"/>
      <c r="L55" s="4"/>
      <c r="M55" s="4"/>
      <c r="N55" s="4"/>
      <c r="O55" s="4"/>
      <c r="P55" s="4"/>
      <c r="Q55" s="4"/>
      <c r="R55" s="4"/>
      <c r="S55" s="4"/>
      <c r="T55" s="4"/>
      <c r="U55" s="4"/>
      <c r="V55" s="4"/>
      <c r="W55" s="4"/>
      <c r="X55" s="4"/>
      <c r="Y55" s="4"/>
      <c r="Z55" s="4"/>
    </row>
    <row r="56" spans="1:26">
      <c r="A56" s="85"/>
      <c r="B56" s="90"/>
      <c r="C56" s="4"/>
      <c r="D56" s="4"/>
      <c r="E56" s="4"/>
      <c r="F56" s="4"/>
      <c r="G56" s="4"/>
      <c r="H56" s="4"/>
      <c r="I56" s="4"/>
      <c r="J56" s="4"/>
      <c r="K56" s="4"/>
      <c r="L56" s="4"/>
      <c r="M56" s="4"/>
      <c r="N56" s="4"/>
      <c r="O56" s="4"/>
      <c r="P56" s="4"/>
      <c r="Q56" s="4"/>
      <c r="R56" s="4"/>
      <c r="S56" s="4"/>
      <c r="T56" s="4"/>
      <c r="U56" s="4"/>
      <c r="V56" s="4"/>
      <c r="W56" s="4"/>
      <c r="X56" s="4"/>
      <c r="Y56" s="4"/>
      <c r="Z56" s="4"/>
    </row>
    <row r="57" spans="1:26">
      <c r="A57" s="85" t="s">
        <v>189</v>
      </c>
      <c r="B57" s="88"/>
      <c r="C57" s="4"/>
      <c r="D57" s="4"/>
      <c r="E57" s="4"/>
      <c r="F57" s="4"/>
      <c r="G57" s="4"/>
      <c r="H57" s="4"/>
      <c r="I57" s="4"/>
      <c r="J57" s="4"/>
      <c r="K57" s="4"/>
      <c r="L57" s="4"/>
      <c r="M57" s="4"/>
      <c r="N57" s="4"/>
      <c r="O57" s="4"/>
      <c r="P57" s="4"/>
      <c r="Q57" s="4"/>
      <c r="R57" s="4"/>
      <c r="S57" s="4"/>
      <c r="T57" s="4"/>
      <c r="U57" s="4"/>
      <c r="V57" s="4"/>
      <c r="W57" s="4"/>
      <c r="X57" s="4"/>
      <c r="Y57" s="4"/>
      <c r="Z57" s="4"/>
    </row>
    <row r="58" spans="1:26">
      <c r="A58" s="87" t="s">
        <v>58</v>
      </c>
      <c r="B58" s="88">
        <f>Assumptions!D69</f>
        <v>31500.34</v>
      </c>
      <c r="C58" s="4"/>
      <c r="D58" s="4"/>
      <c r="E58" s="4"/>
      <c r="F58" s="4"/>
      <c r="G58" s="4"/>
      <c r="H58" s="4"/>
      <c r="I58" s="4"/>
      <c r="J58" s="4"/>
      <c r="K58" s="4"/>
      <c r="L58" s="4"/>
      <c r="M58" s="4"/>
      <c r="N58" s="4"/>
      <c r="O58" s="4"/>
      <c r="P58" s="4"/>
      <c r="Q58" s="4"/>
      <c r="R58" s="4"/>
      <c r="S58" s="4"/>
      <c r="T58" s="4"/>
      <c r="U58" s="4"/>
      <c r="V58" s="4"/>
      <c r="W58" s="4"/>
      <c r="X58" s="4"/>
      <c r="Y58" s="4"/>
      <c r="Z58" s="4"/>
    </row>
    <row r="59" spans="1:26">
      <c r="A59" s="87" t="s">
        <v>59</v>
      </c>
      <c r="B59" s="88">
        <f>Assumptions!D70</f>
        <v>2695.4500000000003</v>
      </c>
      <c r="C59" s="4"/>
      <c r="D59" s="4"/>
      <c r="E59" s="4"/>
      <c r="F59" s="4"/>
      <c r="G59" s="4"/>
      <c r="H59" s="4"/>
      <c r="I59" s="4"/>
      <c r="J59" s="4"/>
      <c r="K59" s="4"/>
      <c r="L59" s="4"/>
      <c r="M59" s="4"/>
      <c r="N59" s="4"/>
      <c r="O59" s="4"/>
      <c r="P59" s="4"/>
      <c r="Q59" s="4"/>
      <c r="R59" s="4"/>
      <c r="S59" s="4"/>
      <c r="T59" s="4"/>
      <c r="U59" s="4"/>
      <c r="V59" s="4"/>
      <c r="W59" s="4"/>
      <c r="X59" s="4"/>
      <c r="Y59" s="4"/>
      <c r="Z59" s="4"/>
    </row>
    <row r="60" spans="1:26">
      <c r="A60" s="87" t="s">
        <v>190</v>
      </c>
      <c r="B60" s="88">
        <f>Assumptions!D71</f>
        <v>6512.79</v>
      </c>
      <c r="C60" s="4"/>
      <c r="D60" s="4"/>
      <c r="E60" s="4"/>
      <c r="F60" s="4"/>
      <c r="G60" s="4"/>
      <c r="H60" s="4"/>
      <c r="I60" s="4"/>
      <c r="J60" s="4"/>
      <c r="K60" s="4"/>
      <c r="L60" s="4"/>
      <c r="M60" s="4"/>
      <c r="N60" s="4"/>
      <c r="O60" s="4"/>
      <c r="P60" s="4"/>
      <c r="Q60" s="4"/>
      <c r="R60" s="4"/>
      <c r="S60" s="4"/>
      <c r="T60" s="4"/>
      <c r="U60" s="4"/>
      <c r="V60" s="4"/>
      <c r="W60" s="4"/>
      <c r="X60" s="4"/>
      <c r="Y60" s="4"/>
      <c r="Z60" s="4"/>
    </row>
    <row r="61" spans="1:26">
      <c r="A61" s="87" t="s">
        <v>191</v>
      </c>
      <c r="B61" s="88">
        <f>Assumptions!D72</f>
        <v>10563.25</v>
      </c>
      <c r="C61" s="4"/>
      <c r="D61" s="4"/>
      <c r="E61" s="4"/>
      <c r="F61" s="4"/>
      <c r="G61" s="4"/>
      <c r="H61" s="4"/>
      <c r="I61" s="4"/>
      <c r="J61" s="4"/>
      <c r="K61" s="4"/>
      <c r="L61" s="4"/>
      <c r="M61" s="4"/>
      <c r="N61" s="4"/>
      <c r="O61" s="4"/>
      <c r="P61" s="4"/>
      <c r="Q61" s="4"/>
      <c r="R61" s="4"/>
      <c r="S61" s="4"/>
      <c r="T61" s="4"/>
      <c r="U61" s="4"/>
      <c r="V61" s="4"/>
      <c r="W61" s="4"/>
      <c r="X61" s="4"/>
      <c r="Y61" s="4"/>
      <c r="Z61" s="4"/>
    </row>
    <row r="62" spans="1:26">
      <c r="A62" s="87" t="s">
        <v>62</v>
      </c>
      <c r="B62" s="88">
        <f>Assumptions!D73</f>
        <v>5638.59</v>
      </c>
      <c r="C62" s="4"/>
      <c r="D62" s="4"/>
      <c r="E62" s="4"/>
      <c r="F62" s="4"/>
      <c r="G62" s="4"/>
      <c r="H62" s="4"/>
      <c r="I62" s="4"/>
      <c r="J62" s="4"/>
      <c r="K62" s="4"/>
      <c r="L62" s="4"/>
      <c r="M62" s="4"/>
      <c r="N62" s="4"/>
      <c r="O62" s="4"/>
      <c r="P62" s="4"/>
      <c r="Q62" s="4"/>
      <c r="R62" s="4"/>
      <c r="S62" s="4"/>
      <c r="T62" s="4"/>
      <c r="U62" s="4"/>
      <c r="V62" s="4"/>
      <c r="W62" s="4"/>
      <c r="X62" s="4"/>
      <c r="Y62" s="4"/>
      <c r="Z62" s="4"/>
    </row>
    <row r="63" spans="1:26">
      <c r="A63" s="87" t="s">
        <v>63</v>
      </c>
      <c r="B63" s="88">
        <f>Assumptions!D74</f>
        <v>391.38125000000002</v>
      </c>
      <c r="C63" s="4"/>
      <c r="D63" s="4"/>
      <c r="E63" s="4"/>
      <c r="F63" s="4"/>
      <c r="G63" s="4"/>
      <c r="H63" s="4"/>
      <c r="I63" s="4"/>
      <c r="J63" s="4"/>
      <c r="K63" s="4"/>
      <c r="L63" s="4"/>
      <c r="M63" s="4"/>
      <c r="N63" s="4"/>
      <c r="O63" s="4"/>
      <c r="P63" s="4"/>
      <c r="Q63" s="4"/>
      <c r="R63" s="4"/>
      <c r="S63" s="4"/>
      <c r="T63" s="4"/>
      <c r="U63" s="4"/>
      <c r="V63" s="4"/>
      <c r="W63" s="4"/>
      <c r="X63" s="4"/>
      <c r="Y63" s="4"/>
      <c r="Z63" s="4"/>
    </row>
    <row r="64" spans="1:26">
      <c r="A64" s="87" t="s">
        <v>65</v>
      </c>
      <c r="B64" s="88">
        <f>Assumptions!D75</f>
        <v>0</v>
      </c>
      <c r="C64" s="4"/>
      <c r="D64" s="4"/>
      <c r="E64" s="4"/>
      <c r="F64" s="4"/>
      <c r="G64" s="4"/>
      <c r="H64" s="4"/>
      <c r="I64" s="4"/>
      <c r="J64" s="4"/>
      <c r="K64" s="4"/>
      <c r="L64" s="4"/>
      <c r="M64" s="4"/>
      <c r="N64" s="4"/>
      <c r="O64" s="4"/>
      <c r="P64" s="4"/>
      <c r="Q64" s="4"/>
      <c r="R64" s="4"/>
      <c r="S64" s="4"/>
      <c r="T64" s="4"/>
      <c r="U64" s="4"/>
      <c r="V64" s="4"/>
      <c r="W64" s="4"/>
      <c r="X64" s="4"/>
      <c r="Y64" s="4"/>
      <c r="Z64" s="4"/>
    </row>
    <row r="65" spans="1:26">
      <c r="A65" s="87" t="s">
        <v>192</v>
      </c>
      <c r="B65" s="88">
        <f>Assumptions!D76</f>
        <v>0</v>
      </c>
      <c r="C65" s="4"/>
      <c r="D65" s="4"/>
      <c r="E65" s="4"/>
      <c r="F65" s="4"/>
      <c r="G65" s="4"/>
      <c r="H65" s="4"/>
      <c r="I65" s="4"/>
      <c r="J65" s="4"/>
      <c r="K65" s="4"/>
      <c r="L65" s="4"/>
      <c r="M65" s="4"/>
      <c r="N65" s="4"/>
      <c r="O65" s="4"/>
      <c r="P65" s="4"/>
      <c r="Q65" s="4"/>
      <c r="R65" s="4"/>
      <c r="S65" s="4"/>
      <c r="T65" s="4"/>
      <c r="U65" s="4"/>
      <c r="V65" s="4"/>
      <c r="W65" s="4"/>
      <c r="X65" s="4"/>
      <c r="Y65" s="4"/>
      <c r="Z65" s="4"/>
    </row>
    <row r="66" spans="1:26">
      <c r="A66" s="87" t="s">
        <v>49</v>
      </c>
      <c r="B66" s="89">
        <f>Assumptions!D77</f>
        <v>218550</v>
      </c>
      <c r="C66" s="4"/>
      <c r="D66" s="4"/>
      <c r="E66" s="4"/>
      <c r="F66" s="4"/>
      <c r="G66" s="4"/>
      <c r="H66" s="4"/>
      <c r="I66" s="4"/>
      <c r="J66" s="4"/>
      <c r="K66" s="4"/>
      <c r="L66" s="4"/>
      <c r="M66" s="4"/>
      <c r="N66" s="4"/>
      <c r="O66" s="4"/>
      <c r="P66" s="4"/>
      <c r="Q66" s="4"/>
      <c r="R66" s="4"/>
      <c r="S66" s="4"/>
      <c r="T66" s="4"/>
      <c r="U66" s="4"/>
      <c r="V66" s="4"/>
      <c r="W66" s="4"/>
      <c r="X66" s="4"/>
      <c r="Y66" s="4"/>
      <c r="Z66" s="4"/>
    </row>
    <row r="67" spans="1:26">
      <c r="A67" s="85" t="s">
        <v>193</v>
      </c>
      <c r="B67" s="90">
        <f>SUM(B58:B66)</f>
        <v>275851.80125000002</v>
      </c>
      <c r="C67" s="4"/>
      <c r="D67" s="4"/>
      <c r="E67" s="4"/>
      <c r="F67" s="4"/>
      <c r="G67" s="4"/>
      <c r="H67" s="4"/>
      <c r="I67" s="4"/>
      <c r="J67" s="4"/>
      <c r="K67" s="4"/>
      <c r="L67" s="4"/>
      <c r="M67" s="4"/>
      <c r="N67" s="4"/>
      <c r="O67" s="4"/>
      <c r="P67" s="4"/>
      <c r="Q67" s="4"/>
      <c r="R67" s="4"/>
      <c r="S67" s="4"/>
      <c r="T67" s="4"/>
      <c r="U67" s="4"/>
      <c r="V67" s="4"/>
      <c r="W67" s="4"/>
      <c r="X67" s="4"/>
      <c r="Y67" s="4"/>
      <c r="Z67" s="4"/>
    </row>
    <row r="68" spans="1:26">
      <c r="A68" s="85"/>
      <c r="B68" s="90"/>
      <c r="C68" s="4"/>
      <c r="D68" s="4"/>
      <c r="E68" s="4"/>
      <c r="F68" s="4"/>
      <c r="G68" s="4"/>
      <c r="H68" s="4"/>
      <c r="I68" s="4"/>
      <c r="J68" s="4"/>
      <c r="K68" s="4"/>
      <c r="L68" s="4"/>
      <c r="M68" s="4"/>
      <c r="N68" s="4"/>
      <c r="O68" s="4"/>
      <c r="P68" s="4"/>
      <c r="Q68" s="4"/>
      <c r="R68" s="4"/>
      <c r="S68" s="4"/>
      <c r="T68" s="4"/>
      <c r="U68" s="4"/>
      <c r="V68" s="4"/>
      <c r="W68" s="4"/>
      <c r="X68" s="4"/>
      <c r="Y68" s="4"/>
      <c r="Z68" s="4"/>
    </row>
    <row r="69" spans="1:26">
      <c r="A69" s="85" t="s">
        <v>194</v>
      </c>
      <c r="B69" s="88"/>
      <c r="C69" s="4"/>
      <c r="D69" s="4"/>
      <c r="E69" s="4"/>
      <c r="F69" s="4"/>
      <c r="G69" s="4"/>
      <c r="H69" s="4"/>
      <c r="I69" s="4"/>
      <c r="J69" s="4"/>
      <c r="K69" s="4"/>
      <c r="L69" s="4"/>
      <c r="M69" s="4"/>
      <c r="N69" s="4"/>
      <c r="O69" s="4"/>
      <c r="P69" s="4"/>
      <c r="Q69" s="4"/>
      <c r="R69" s="4"/>
      <c r="S69" s="4"/>
      <c r="T69" s="4"/>
      <c r="U69" s="4"/>
      <c r="V69" s="4"/>
      <c r="W69" s="4"/>
      <c r="X69" s="4"/>
      <c r="Y69" s="4"/>
      <c r="Z69" s="4"/>
    </row>
    <row r="70" spans="1:26">
      <c r="A70" s="87" t="s">
        <v>70</v>
      </c>
      <c r="B70" s="88">
        <f>Assumptions!D80</f>
        <v>20000</v>
      </c>
      <c r="C70" s="4"/>
      <c r="D70" s="4"/>
      <c r="E70" s="4"/>
      <c r="F70" s="4"/>
      <c r="G70" s="4"/>
      <c r="H70" s="4"/>
      <c r="I70" s="4"/>
      <c r="J70" s="4"/>
      <c r="K70" s="4"/>
      <c r="L70" s="4"/>
      <c r="M70" s="4"/>
      <c r="N70" s="4"/>
      <c r="O70" s="4"/>
      <c r="P70" s="4"/>
      <c r="Q70" s="4"/>
      <c r="R70" s="4"/>
      <c r="S70" s="4"/>
      <c r="T70" s="4"/>
      <c r="U70" s="4"/>
      <c r="V70" s="4"/>
      <c r="W70" s="4"/>
      <c r="X70" s="4"/>
      <c r="Y70" s="4"/>
      <c r="Z70" s="4"/>
    </row>
    <row r="71" spans="1:26">
      <c r="A71" s="87" t="s">
        <v>72</v>
      </c>
      <c r="B71" s="88">
        <f>Assumptions!D81</f>
        <v>1900</v>
      </c>
      <c r="C71" s="4"/>
      <c r="D71" s="4"/>
      <c r="E71" s="4"/>
      <c r="F71" s="4"/>
      <c r="G71" s="4"/>
      <c r="H71" s="4"/>
      <c r="I71" s="4"/>
      <c r="J71" s="4"/>
      <c r="K71" s="4"/>
      <c r="L71" s="4"/>
      <c r="M71" s="4"/>
      <c r="N71" s="4"/>
      <c r="O71" s="4"/>
      <c r="P71" s="4"/>
      <c r="Q71" s="4"/>
      <c r="R71" s="4"/>
      <c r="S71" s="4"/>
      <c r="T71" s="4"/>
      <c r="U71" s="4"/>
      <c r="V71" s="4"/>
      <c r="W71" s="4"/>
      <c r="X71" s="4"/>
      <c r="Y71" s="4"/>
      <c r="Z71" s="4"/>
    </row>
    <row r="72" spans="1:26">
      <c r="A72" s="87" t="s">
        <v>73</v>
      </c>
      <c r="B72" s="88">
        <f>Assumptions!D82</f>
        <v>3000</v>
      </c>
      <c r="C72" s="4"/>
      <c r="D72" s="4"/>
      <c r="E72" s="4"/>
      <c r="F72" s="4"/>
      <c r="G72" s="4"/>
      <c r="H72" s="4"/>
      <c r="I72" s="4"/>
      <c r="J72" s="4"/>
      <c r="K72" s="4"/>
      <c r="L72" s="4"/>
      <c r="M72" s="4"/>
      <c r="N72" s="4"/>
      <c r="O72" s="4"/>
      <c r="P72" s="4"/>
      <c r="Q72" s="4"/>
      <c r="R72" s="4"/>
      <c r="S72" s="4"/>
      <c r="T72" s="4"/>
      <c r="U72" s="4"/>
      <c r="V72" s="4"/>
      <c r="W72" s="4"/>
      <c r="X72" s="4"/>
      <c r="Y72" s="4"/>
      <c r="Z72" s="4"/>
    </row>
    <row r="73" spans="1:26">
      <c r="A73" s="87" t="s">
        <v>75</v>
      </c>
      <c r="B73" s="88">
        <f>Assumptions!D83</f>
        <v>10000</v>
      </c>
      <c r="C73" s="4"/>
      <c r="D73" s="4"/>
      <c r="E73" s="4"/>
      <c r="F73" s="4"/>
      <c r="G73" s="4"/>
      <c r="H73" s="4"/>
      <c r="I73" s="4"/>
      <c r="J73" s="4"/>
      <c r="K73" s="4"/>
      <c r="L73" s="4"/>
      <c r="M73" s="4"/>
      <c r="N73" s="4"/>
      <c r="O73" s="4"/>
      <c r="P73" s="4"/>
      <c r="Q73" s="4"/>
      <c r="R73" s="4"/>
      <c r="S73" s="4"/>
      <c r="T73" s="4"/>
      <c r="U73" s="4"/>
      <c r="V73" s="4"/>
      <c r="W73" s="4"/>
      <c r="X73" s="4"/>
      <c r="Y73" s="4"/>
      <c r="Z73" s="4"/>
    </row>
    <row r="74" spans="1:26">
      <c r="A74" s="87" t="s">
        <v>76</v>
      </c>
      <c r="B74" s="89">
        <f>Assumptions!D84</f>
        <v>0</v>
      </c>
      <c r="C74" s="4"/>
      <c r="D74" s="4"/>
      <c r="E74" s="4"/>
      <c r="F74" s="4"/>
      <c r="G74" s="4"/>
      <c r="H74" s="4"/>
      <c r="I74" s="4"/>
      <c r="J74" s="4"/>
      <c r="K74" s="4"/>
      <c r="L74" s="4"/>
      <c r="M74" s="4"/>
      <c r="N74" s="4"/>
      <c r="O74" s="4"/>
      <c r="P74" s="4"/>
      <c r="Q74" s="4"/>
      <c r="R74" s="4"/>
      <c r="S74" s="4"/>
      <c r="T74" s="4"/>
      <c r="U74" s="4"/>
      <c r="V74" s="4"/>
      <c r="W74" s="4"/>
      <c r="X74" s="4"/>
      <c r="Y74" s="4"/>
      <c r="Z74" s="4"/>
    </row>
    <row r="75" spans="1:26">
      <c r="A75" s="85" t="s">
        <v>195</v>
      </c>
      <c r="B75" s="90">
        <f>SUM(B70:B74)</f>
        <v>34900</v>
      </c>
      <c r="C75" s="4"/>
      <c r="D75" s="4"/>
      <c r="E75" s="4"/>
      <c r="F75" s="4"/>
      <c r="G75" s="4"/>
      <c r="H75" s="4"/>
      <c r="I75" s="4"/>
      <c r="J75" s="4"/>
      <c r="K75" s="4"/>
      <c r="L75" s="4"/>
      <c r="M75" s="4"/>
      <c r="N75" s="4"/>
      <c r="O75" s="4"/>
      <c r="P75" s="4"/>
      <c r="Q75" s="4"/>
      <c r="R75" s="4"/>
      <c r="S75" s="4"/>
      <c r="T75" s="4"/>
      <c r="U75" s="4"/>
      <c r="V75" s="4"/>
      <c r="W75" s="4"/>
      <c r="X75" s="4"/>
      <c r="Y75" s="4"/>
      <c r="Z75" s="4"/>
    </row>
    <row r="76" spans="1:26">
      <c r="A76" s="85"/>
      <c r="B76" s="90"/>
      <c r="C76" s="4"/>
      <c r="D76" s="4"/>
      <c r="E76" s="4"/>
      <c r="F76" s="4"/>
      <c r="G76" s="4"/>
      <c r="H76" s="4"/>
      <c r="I76" s="4"/>
      <c r="J76" s="4"/>
      <c r="K76" s="4"/>
      <c r="L76" s="4"/>
      <c r="M76" s="4"/>
      <c r="N76" s="4"/>
      <c r="O76" s="4"/>
      <c r="P76" s="4"/>
      <c r="Q76" s="4"/>
      <c r="R76" s="4"/>
      <c r="S76" s="4"/>
      <c r="T76" s="4"/>
      <c r="U76" s="4"/>
      <c r="V76" s="4"/>
      <c r="W76" s="4"/>
      <c r="X76" s="4"/>
      <c r="Y76" s="4"/>
      <c r="Z76" s="4"/>
    </row>
    <row r="77" spans="1:26">
      <c r="A77" s="85" t="s">
        <v>196</v>
      </c>
      <c r="B77" s="88"/>
      <c r="C77" s="4"/>
      <c r="D77" s="4"/>
      <c r="E77" s="4"/>
      <c r="F77" s="4"/>
      <c r="G77" s="4"/>
      <c r="H77" s="4"/>
      <c r="I77" s="4"/>
      <c r="J77" s="4"/>
      <c r="K77" s="4"/>
      <c r="L77" s="4"/>
      <c r="M77" s="4"/>
      <c r="N77" s="4"/>
      <c r="O77" s="4"/>
      <c r="P77" s="4"/>
      <c r="Q77" s="4"/>
      <c r="R77" s="4"/>
      <c r="S77" s="4"/>
      <c r="T77" s="4"/>
      <c r="U77" s="4"/>
      <c r="V77" s="4"/>
      <c r="W77" s="4"/>
      <c r="X77" s="4"/>
      <c r="Y77" s="4"/>
      <c r="Z77" s="4"/>
    </row>
    <row r="78" spans="1:26">
      <c r="A78" s="87" t="s">
        <v>79</v>
      </c>
      <c r="B78" s="88">
        <f>Assumptions!D87</f>
        <v>0</v>
      </c>
      <c r="C78" s="4"/>
      <c r="D78" s="4"/>
      <c r="E78" s="4"/>
      <c r="F78" s="4"/>
      <c r="G78" s="4"/>
      <c r="H78" s="4"/>
      <c r="I78" s="4"/>
      <c r="J78" s="4"/>
      <c r="K78" s="4"/>
      <c r="L78" s="4"/>
      <c r="M78" s="4"/>
      <c r="N78" s="4"/>
      <c r="O78" s="4"/>
      <c r="P78" s="4"/>
      <c r="Q78" s="4"/>
      <c r="R78" s="4"/>
      <c r="S78" s="4"/>
      <c r="T78" s="4"/>
      <c r="U78" s="4"/>
      <c r="V78" s="4"/>
      <c r="W78" s="4"/>
      <c r="X78" s="4"/>
      <c r="Y78" s="4"/>
      <c r="Z78" s="4"/>
    </row>
    <row r="79" spans="1:26">
      <c r="A79" s="87" t="s">
        <v>82</v>
      </c>
      <c r="B79" s="89">
        <f>Assumptions!D88</f>
        <v>0</v>
      </c>
      <c r="C79" s="4"/>
      <c r="D79" s="4"/>
      <c r="E79" s="4"/>
      <c r="F79" s="4"/>
      <c r="G79" s="4"/>
      <c r="H79" s="4"/>
      <c r="I79" s="4"/>
      <c r="J79" s="4"/>
      <c r="K79" s="4"/>
      <c r="L79" s="4"/>
      <c r="M79" s="4"/>
      <c r="N79" s="4"/>
      <c r="O79" s="4"/>
      <c r="P79" s="4"/>
      <c r="Q79" s="4"/>
      <c r="R79" s="4"/>
      <c r="S79" s="4"/>
      <c r="T79" s="4"/>
      <c r="U79" s="4"/>
      <c r="V79" s="4"/>
      <c r="W79" s="4"/>
      <c r="X79" s="4"/>
      <c r="Y79" s="4"/>
      <c r="Z79" s="4"/>
    </row>
    <row r="80" spans="1:26">
      <c r="A80" s="85" t="s">
        <v>197</v>
      </c>
      <c r="B80" s="90">
        <f>SUM(B78:B79)</f>
        <v>0</v>
      </c>
      <c r="C80" s="4"/>
      <c r="D80" s="4"/>
      <c r="E80" s="4"/>
      <c r="F80" s="4"/>
      <c r="G80" s="4"/>
      <c r="H80" s="4"/>
      <c r="I80" s="4"/>
      <c r="J80" s="4"/>
      <c r="K80" s="4"/>
      <c r="L80" s="4"/>
      <c r="M80" s="4"/>
      <c r="N80" s="4"/>
      <c r="O80" s="4"/>
      <c r="P80" s="4"/>
      <c r="Q80" s="4"/>
      <c r="R80" s="4"/>
      <c r="S80" s="4"/>
      <c r="T80" s="4"/>
      <c r="U80" s="4"/>
      <c r="V80" s="4"/>
      <c r="W80" s="4"/>
      <c r="X80" s="4"/>
      <c r="Y80" s="4"/>
      <c r="Z80" s="4"/>
    </row>
    <row r="81" spans="1:26">
      <c r="A81" s="85"/>
      <c r="B81" s="90"/>
      <c r="C81" s="4"/>
      <c r="D81" s="4"/>
      <c r="E81" s="4"/>
      <c r="F81" s="4"/>
      <c r="G81" s="4"/>
      <c r="H81" s="4"/>
      <c r="I81" s="4"/>
      <c r="J81" s="4"/>
      <c r="K81" s="4"/>
      <c r="L81" s="4"/>
      <c r="M81" s="4"/>
      <c r="N81" s="4"/>
      <c r="O81" s="4"/>
      <c r="P81" s="4"/>
      <c r="Q81" s="4"/>
      <c r="R81" s="4"/>
      <c r="S81" s="4"/>
      <c r="T81" s="4"/>
      <c r="U81" s="4"/>
      <c r="V81" s="4"/>
      <c r="W81" s="4"/>
      <c r="X81" s="4"/>
      <c r="Y81" s="4"/>
      <c r="Z81" s="4"/>
    </row>
    <row r="82" spans="1:26">
      <c r="A82" s="85" t="s">
        <v>198</v>
      </c>
      <c r="B82" s="88"/>
      <c r="C82" s="4"/>
      <c r="D82" s="4"/>
      <c r="E82" s="4"/>
      <c r="F82" s="4"/>
      <c r="G82" s="4"/>
      <c r="H82" s="4"/>
      <c r="I82" s="4"/>
      <c r="J82" s="4"/>
      <c r="K82" s="4"/>
      <c r="L82" s="4"/>
      <c r="M82" s="4"/>
      <c r="N82" s="4"/>
      <c r="O82" s="4"/>
      <c r="P82" s="4"/>
      <c r="Q82" s="4"/>
      <c r="R82" s="4"/>
      <c r="S82" s="4"/>
      <c r="T82" s="4"/>
      <c r="U82" s="4"/>
      <c r="V82" s="4"/>
      <c r="W82" s="4"/>
      <c r="X82" s="4"/>
      <c r="Y82" s="4"/>
      <c r="Z82" s="4"/>
    </row>
    <row r="83" spans="1:26">
      <c r="A83" s="87" t="s">
        <v>84</v>
      </c>
      <c r="B83" s="88">
        <f>Assumptions!D91</f>
        <v>0</v>
      </c>
      <c r="C83" s="4"/>
      <c r="D83" s="4"/>
      <c r="E83" s="4"/>
      <c r="F83" s="4"/>
      <c r="G83" s="4"/>
      <c r="H83" s="4"/>
      <c r="I83" s="4"/>
      <c r="J83" s="4"/>
      <c r="K83" s="4"/>
      <c r="L83" s="4"/>
      <c r="M83" s="4"/>
      <c r="N83" s="4"/>
      <c r="O83" s="4"/>
      <c r="P83" s="4"/>
      <c r="Q83" s="4"/>
      <c r="R83" s="4"/>
      <c r="S83" s="4"/>
      <c r="T83" s="4"/>
      <c r="U83" s="4"/>
      <c r="V83" s="4"/>
      <c r="W83" s="4"/>
      <c r="X83" s="4"/>
      <c r="Y83" s="4"/>
      <c r="Z83" s="4"/>
    </row>
    <row r="84" spans="1:26">
      <c r="A84" s="87" t="s">
        <v>86</v>
      </c>
      <c r="B84" s="88">
        <f>Assumptions!D92</f>
        <v>0</v>
      </c>
      <c r="C84" s="4"/>
      <c r="D84" s="4"/>
      <c r="E84" s="4"/>
      <c r="F84" s="4"/>
      <c r="G84" s="4"/>
      <c r="H84" s="4"/>
      <c r="I84" s="4"/>
      <c r="J84" s="4"/>
      <c r="K84" s="4"/>
      <c r="L84" s="4"/>
      <c r="M84" s="4"/>
      <c r="N84" s="4"/>
      <c r="O84" s="4"/>
      <c r="P84" s="4"/>
      <c r="Q84" s="4"/>
      <c r="R84" s="4"/>
      <c r="S84" s="4"/>
      <c r="T84" s="4"/>
      <c r="U84" s="4"/>
      <c r="V84" s="4"/>
      <c r="W84" s="4"/>
      <c r="X84" s="4"/>
      <c r="Y84" s="4"/>
      <c r="Z84" s="4"/>
    </row>
    <row r="85" spans="1:26">
      <c r="A85" s="87" t="s">
        <v>90</v>
      </c>
      <c r="B85" s="89">
        <f>Assumptions!D93</f>
        <v>0</v>
      </c>
      <c r="C85" s="4"/>
      <c r="D85" s="4"/>
      <c r="E85" s="4"/>
      <c r="F85" s="4"/>
      <c r="G85" s="4"/>
      <c r="H85" s="4"/>
      <c r="I85" s="4"/>
      <c r="J85" s="4"/>
      <c r="K85" s="4"/>
      <c r="L85" s="4"/>
      <c r="M85" s="4"/>
      <c r="N85" s="4"/>
      <c r="O85" s="4"/>
      <c r="P85" s="4"/>
      <c r="Q85" s="4"/>
      <c r="R85" s="4"/>
      <c r="S85" s="4"/>
      <c r="T85" s="4"/>
      <c r="U85" s="4"/>
      <c r="V85" s="4"/>
      <c r="W85" s="4"/>
      <c r="X85" s="4"/>
      <c r="Y85" s="4"/>
      <c r="Z85" s="4"/>
    </row>
    <row r="86" spans="1:26">
      <c r="A86" s="85" t="s">
        <v>199</v>
      </c>
      <c r="B86" s="90">
        <f>SUM(B83:B85)</f>
        <v>0</v>
      </c>
      <c r="C86" s="4"/>
      <c r="D86" s="4"/>
      <c r="E86" s="4"/>
      <c r="F86" s="4"/>
      <c r="G86" s="4"/>
      <c r="H86" s="4"/>
      <c r="I86" s="4"/>
      <c r="J86" s="4"/>
      <c r="K86" s="4"/>
      <c r="L86" s="4"/>
      <c r="M86" s="4"/>
      <c r="N86" s="4"/>
      <c r="O86" s="4"/>
      <c r="P86" s="4"/>
      <c r="Q86" s="4"/>
      <c r="R86" s="4"/>
      <c r="S86" s="4"/>
      <c r="T86" s="4"/>
      <c r="U86" s="4"/>
      <c r="V86" s="4"/>
      <c r="W86" s="4"/>
      <c r="X86" s="4"/>
      <c r="Y86" s="4"/>
      <c r="Z86" s="4"/>
    </row>
    <row r="87" spans="1:26">
      <c r="A87" s="85"/>
      <c r="B87" s="90"/>
      <c r="C87" s="4"/>
      <c r="D87" s="4"/>
      <c r="E87" s="4"/>
      <c r="F87" s="4"/>
      <c r="G87" s="4"/>
      <c r="H87" s="4"/>
      <c r="I87" s="4"/>
      <c r="J87" s="4"/>
      <c r="K87" s="4"/>
      <c r="L87" s="4"/>
      <c r="M87" s="4"/>
      <c r="N87" s="4"/>
      <c r="O87" s="4"/>
      <c r="P87" s="4"/>
      <c r="Q87" s="4"/>
      <c r="R87" s="4"/>
      <c r="S87" s="4"/>
      <c r="T87" s="4"/>
      <c r="U87" s="4"/>
      <c r="V87" s="4"/>
      <c r="W87" s="4"/>
      <c r="X87" s="4"/>
      <c r="Y87" s="4"/>
      <c r="Z87" s="4"/>
    </row>
    <row r="88" spans="1:26">
      <c r="A88" s="85" t="s">
        <v>200</v>
      </c>
      <c r="B88" s="88"/>
      <c r="C88" s="4"/>
      <c r="D88" s="4"/>
      <c r="E88" s="4"/>
      <c r="F88" s="4"/>
      <c r="G88" s="4"/>
      <c r="H88" s="4"/>
      <c r="I88" s="4"/>
      <c r="J88" s="4"/>
      <c r="K88" s="4"/>
      <c r="L88" s="4"/>
      <c r="M88" s="4"/>
      <c r="N88" s="4"/>
      <c r="O88" s="4"/>
      <c r="P88" s="4"/>
      <c r="Q88" s="4"/>
      <c r="R88" s="4"/>
      <c r="S88" s="4"/>
      <c r="T88" s="4"/>
      <c r="U88" s="4"/>
      <c r="V88" s="4"/>
      <c r="W88" s="4"/>
      <c r="X88" s="4"/>
      <c r="Y88" s="4"/>
      <c r="Z88" s="4"/>
    </row>
    <row r="89" spans="1:26">
      <c r="A89" s="87" t="s">
        <v>93</v>
      </c>
      <c r="B89" s="88">
        <f>Assumptions!D96</f>
        <v>0</v>
      </c>
      <c r="C89" s="4"/>
      <c r="D89" s="4"/>
      <c r="E89" s="4"/>
      <c r="F89" s="4"/>
      <c r="G89" s="4"/>
      <c r="H89" s="4"/>
      <c r="I89" s="4"/>
      <c r="J89" s="4"/>
      <c r="K89" s="4"/>
      <c r="L89" s="4"/>
      <c r="M89" s="4"/>
      <c r="N89" s="4"/>
      <c r="O89" s="4"/>
      <c r="P89" s="4"/>
      <c r="Q89" s="4"/>
      <c r="R89" s="4"/>
      <c r="S89" s="4"/>
      <c r="T89" s="4"/>
      <c r="U89" s="4"/>
      <c r="V89" s="4"/>
      <c r="W89" s="4"/>
      <c r="X89" s="4"/>
      <c r="Y89" s="4"/>
      <c r="Z89" s="4"/>
    </row>
    <row r="90" spans="1:26">
      <c r="A90" s="87" t="s">
        <v>95</v>
      </c>
      <c r="B90" s="88">
        <f>Assumptions!D97</f>
        <v>0</v>
      </c>
      <c r="C90" s="4"/>
      <c r="D90" s="4"/>
      <c r="E90" s="4"/>
      <c r="F90" s="4"/>
      <c r="G90" s="4"/>
      <c r="H90" s="4"/>
      <c r="I90" s="4"/>
      <c r="J90" s="4"/>
      <c r="K90" s="4"/>
      <c r="L90" s="4"/>
      <c r="M90" s="4"/>
      <c r="N90" s="4"/>
      <c r="O90" s="4"/>
      <c r="P90" s="4"/>
      <c r="Q90" s="4"/>
      <c r="R90" s="4"/>
      <c r="S90" s="4"/>
      <c r="T90" s="4"/>
      <c r="U90" s="4"/>
      <c r="V90" s="4"/>
      <c r="W90" s="4"/>
      <c r="X90" s="4"/>
      <c r="Y90" s="4"/>
      <c r="Z90" s="4"/>
    </row>
    <row r="91" spans="1:26">
      <c r="A91" s="87" t="s">
        <v>201</v>
      </c>
      <c r="B91" s="89">
        <f>Assumptions!D98</f>
        <v>0</v>
      </c>
      <c r="C91" s="4"/>
      <c r="D91" s="4"/>
      <c r="E91" s="4"/>
      <c r="F91" s="4"/>
      <c r="G91" s="4"/>
      <c r="H91" s="4"/>
      <c r="I91" s="4"/>
      <c r="J91" s="4"/>
      <c r="K91" s="4"/>
      <c r="L91" s="4"/>
      <c r="M91" s="4"/>
      <c r="N91" s="4"/>
      <c r="O91" s="4"/>
      <c r="P91" s="4"/>
      <c r="Q91" s="4"/>
      <c r="R91" s="4"/>
      <c r="S91" s="4"/>
      <c r="T91" s="4"/>
      <c r="U91" s="4"/>
      <c r="V91" s="4"/>
      <c r="W91" s="4"/>
      <c r="X91" s="4"/>
      <c r="Y91" s="4"/>
      <c r="Z91" s="4"/>
    </row>
    <row r="92" spans="1:26">
      <c r="A92" s="85" t="s">
        <v>202</v>
      </c>
      <c r="B92" s="90">
        <f>SUM(B89:B91)</f>
        <v>0</v>
      </c>
      <c r="C92" s="4"/>
      <c r="D92" s="4"/>
      <c r="E92" s="4"/>
      <c r="F92" s="4"/>
      <c r="G92" s="4"/>
      <c r="H92" s="4"/>
      <c r="I92" s="4"/>
      <c r="J92" s="4"/>
      <c r="K92" s="4"/>
      <c r="L92" s="4"/>
      <c r="M92" s="4"/>
      <c r="N92" s="4"/>
      <c r="O92" s="4"/>
      <c r="P92" s="4"/>
      <c r="Q92" s="4"/>
      <c r="R92" s="4"/>
      <c r="S92" s="4"/>
      <c r="T92" s="4"/>
      <c r="U92" s="4"/>
      <c r="V92" s="4"/>
      <c r="W92" s="4"/>
      <c r="X92" s="4"/>
      <c r="Y92" s="4"/>
      <c r="Z92" s="4"/>
    </row>
    <row r="93" spans="1:26">
      <c r="A93" s="85"/>
      <c r="B93" s="90"/>
      <c r="C93" s="4"/>
      <c r="D93" s="4"/>
      <c r="E93" s="4"/>
      <c r="F93" s="4"/>
      <c r="G93" s="4"/>
      <c r="H93" s="4"/>
      <c r="I93" s="4"/>
      <c r="J93" s="4"/>
      <c r="K93" s="4"/>
      <c r="L93" s="4"/>
      <c r="M93" s="4"/>
      <c r="N93" s="4"/>
      <c r="O93" s="4"/>
      <c r="P93" s="4"/>
      <c r="Q93" s="4"/>
      <c r="R93" s="4"/>
      <c r="S93" s="4"/>
      <c r="T93" s="4"/>
      <c r="U93" s="4"/>
      <c r="V93" s="4"/>
      <c r="W93" s="4"/>
      <c r="X93" s="4"/>
      <c r="Y93" s="4"/>
      <c r="Z93" s="4"/>
    </row>
    <row r="94" spans="1:26">
      <c r="A94" s="85" t="s">
        <v>203</v>
      </c>
      <c r="B94" s="88"/>
      <c r="C94" s="4"/>
      <c r="D94" s="4"/>
      <c r="E94" s="4"/>
      <c r="F94" s="4"/>
      <c r="G94" s="4"/>
      <c r="H94" s="4"/>
      <c r="I94" s="4"/>
      <c r="J94" s="4"/>
      <c r="K94" s="4"/>
      <c r="L94" s="4"/>
      <c r="M94" s="4"/>
      <c r="N94" s="4"/>
      <c r="O94" s="4"/>
      <c r="P94" s="4"/>
      <c r="Q94" s="4"/>
      <c r="R94" s="4"/>
      <c r="S94" s="4"/>
      <c r="T94" s="4"/>
      <c r="U94" s="4"/>
      <c r="V94" s="4"/>
      <c r="W94" s="4"/>
      <c r="X94" s="4"/>
      <c r="Y94" s="4"/>
      <c r="Z94" s="4"/>
    </row>
    <row r="95" spans="1:26">
      <c r="A95" s="87" t="s">
        <v>98</v>
      </c>
      <c r="B95" s="88">
        <f>Assumptions!D101</f>
        <v>0</v>
      </c>
      <c r="C95" s="4"/>
      <c r="D95" s="4"/>
      <c r="E95" s="4"/>
      <c r="F95" s="4"/>
      <c r="G95" s="4"/>
      <c r="H95" s="4"/>
      <c r="I95" s="4"/>
      <c r="J95" s="4"/>
      <c r="K95" s="4"/>
      <c r="L95" s="4"/>
      <c r="M95" s="4"/>
      <c r="N95" s="4"/>
      <c r="O95" s="4"/>
      <c r="P95" s="4"/>
      <c r="Q95" s="4"/>
      <c r="R95" s="4"/>
      <c r="S95" s="4"/>
      <c r="T95" s="4"/>
      <c r="U95" s="4"/>
      <c r="V95" s="4"/>
      <c r="W95" s="4"/>
      <c r="X95" s="4"/>
      <c r="Y95" s="4"/>
      <c r="Z95" s="4"/>
    </row>
    <row r="96" spans="1:26">
      <c r="A96" s="87" t="s">
        <v>99</v>
      </c>
      <c r="B96" s="88">
        <f>Assumptions!D102</f>
        <v>0</v>
      </c>
      <c r="C96" s="4"/>
      <c r="D96" s="4"/>
      <c r="E96" s="4"/>
      <c r="F96" s="4"/>
      <c r="G96" s="4"/>
      <c r="H96" s="4"/>
      <c r="I96" s="4"/>
      <c r="J96" s="4"/>
      <c r="K96" s="4"/>
      <c r="L96" s="4"/>
      <c r="M96" s="4"/>
      <c r="N96" s="4"/>
      <c r="O96" s="4"/>
      <c r="P96" s="4"/>
      <c r="Q96" s="4"/>
      <c r="R96" s="4"/>
      <c r="S96" s="4"/>
      <c r="T96" s="4"/>
      <c r="U96" s="4"/>
      <c r="V96" s="4"/>
      <c r="W96" s="4"/>
      <c r="X96" s="4"/>
      <c r="Y96" s="4"/>
      <c r="Z96" s="4"/>
    </row>
    <row r="97" spans="1:26">
      <c r="A97" s="87" t="s">
        <v>100</v>
      </c>
      <c r="B97" s="89">
        <f>Assumptions!D103</f>
        <v>0</v>
      </c>
      <c r="C97" s="4"/>
      <c r="D97" s="4"/>
      <c r="E97" s="4"/>
      <c r="F97" s="4"/>
      <c r="G97" s="4"/>
      <c r="H97" s="4"/>
      <c r="I97" s="4"/>
      <c r="J97" s="4"/>
      <c r="K97" s="4"/>
      <c r="L97" s="4"/>
      <c r="M97" s="4"/>
      <c r="N97" s="4"/>
      <c r="O97" s="4"/>
      <c r="P97" s="4"/>
      <c r="Q97" s="4"/>
      <c r="R97" s="4"/>
      <c r="S97" s="4"/>
      <c r="T97" s="4"/>
      <c r="U97" s="4"/>
      <c r="V97" s="4"/>
      <c r="W97" s="4"/>
      <c r="X97" s="4"/>
      <c r="Y97" s="4"/>
      <c r="Z97" s="4"/>
    </row>
    <row r="98" spans="1:26">
      <c r="A98" s="85" t="s">
        <v>204</v>
      </c>
      <c r="B98" s="90">
        <f>SUM(B95:B97)</f>
        <v>0</v>
      </c>
      <c r="C98" s="4"/>
      <c r="D98" s="4"/>
      <c r="E98" s="4"/>
      <c r="F98" s="4"/>
      <c r="G98" s="4"/>
      <c r="H98" s="4"/>
      <c r="I98" s="4"/>
      <c r="J98" s="4"/>
      <c r="K98" s="4"/>
      <c r="L98" s="4"/>
      <c r="M98" s="4"/>
      <c r="N98" s="4"/>
      <c r="O98" s="4"/>
      <c r="P98" s="4"/>
      <c r="Q98" s="4"/>
      <c r="R98" s="4"/>
      <c r="S98" s="4"/>
      <c r="T98" s="4"/>
      <c r="U98" s="4"/>
      <c r="V98" s="4"/>
      <c r="W98" s="4"/>
      <c r="X98" s="4"/>
      <c r="Y98" s="4"/>
      <c r="Z98" s="4"/>
    </row>
    <row r="99" spans="1:26">
      <c r="A99" s="85"/>
      <c r="B99" s="90"/>
      <c r="C99" s="4"/>
      <c r="D99" s="4"/>
      <c r="E99" s="4"/>
      <c r="F99" s="4"/>
      <c r="G99" s="4"/>
      <c r="H99" s="4"/>
      <c r="I99" s="4"/>
      <c r="J99" s="4"/>
      <c r="K99" s="4"/>
      <c r="L99" s="4"/>
      <c r="M99" s="4"/>
      <c r="N99" s="4"/>
      <c r="O99" s="4"/>
      <c r="P99" s="4"/>
      <c r="Q99" s="4"/>
      <c r="R99" s="4"/>
      <c r="S99" s="4"/>
      <c r="T99" s="4"/>
      <c r="U99" s="4"/>
      <c r="V99" s="4"/>
      <c r="W99" s="4"/>
      <c r="X99" s="4"/>
      <c r="Y99" s="4"/>
      <c r="Z99" s="4"/>
    </row>
    <row r="100" spans="1:26">
      <c r="A100" s="85" t="s">
        <v>205</v>
      </c>
      <c r="B100" s="88"/>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87" t="s">
        <v>206</v>
      </c>
      <c r="B101" s="88">
        <f>Assumptions!D106</f>
        <v>0</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87" t="s">
        <v>107</v>
      </c>
      <c r="B102" s="88">
        <f>Assumptions!D107</f>
        <v>0</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87" t="s">
        <v>103</v>
      </c>
      <c r="B103" s="88">
        <f>Assumptions!D108</f>
        <v>0</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87" t="s">
        <v>109</v>
      </c>
      <c r="B104" s="88">
        <f>Assumptions!D109</f>
        <v>0</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87" t="s">
        <v>207</v>
      </c>
      <c r="B105" s="89">
        <f>Assumptions!D110</f>
        <v>0</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85" t="s">
        <v>208</v>
      </c>
      <c r="B106" s="90">
        <f>SUM(B101:B105)</f>
        <v>0</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85"/>
      <c r="B107" s="90"/>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85" t="s">
        <v>209</v>
      </c>
      <c r="B108" s="88"/>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87" t="s">
        <v>210</v>
      </c>
      <c r="B109" s="88">
        <f>Assumptions!D113</f>
        <v>0</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87" t="s">
        <v>113</v>
      </c>
      <c r="B110" s="88">
        <f>Assumptions!D114</f>
        <v>0</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87" t="s">
        <v>115</v>
      </c>
      <c r="B111" s="88">
        <f>Assumptions!D115</f>
        <v>0</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85" t="s">
        <v>211</v>
      </c>
      <c r="B112" s="89">
        <f>SUM(B109:B111)</f>
        <v>0</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87"/>
      <c r="B113" s="88"/>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85" t="s">
        <v>212</v>
      </c>
      <c r="B114" s="88"/>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5">
      <c r="A115" s="99" t="s">
        <v>213</v>
      </c>
      <c r="B115" s="88">
        <f>Assumptions!D118</f>
        <v>0</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68" t="s">
        <v>119</v>
      </c>
      <c r="B116" s="88">
        <f>Assumptions!D119</f>
        <v>0</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68" t="s">
        <v>120</v>
      </c>
      <c r="B117" s="88">
        <f>Assumptions!D120</f>
        <v>0</v>
      </c>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65" t="s">
        <v>122</v>
      </c>
      <c r="B118" s="88">
        <f>Assumptions!D121</f>
        <v>0</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65" t="s">
        <v>123</v>
      </c>
      <c r="B119" s="88">
        <f>Assumptions!D122</f>
        <v>0</v>
      </c>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65" t="s">
        <v>124</v>
      </c>
      <c r="B120" s="88">
        <f>Assumptions!D123</f>
        <v>0</v>
      </c>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65" t="s">
        <v>125</v>
      </c>
      <c r="B121" s="88">
        <f>Assumptions!D124</f>
        <v>0</v>
      </c>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65" t="s">
        <v>126</v>
      </c>
      <c r="B122" s="88">
        <f>Assumptions!D125</f>
        <v>0</v>
      </c>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65" t="s">
        <v>127</v>
      </c>
      <c r="B123" s="88">
        <f>Assumptions!D126</f>
        <v>0</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65" t="s">
        <v>128</v>
      </c>
      <c r="B124" s="88">
        <f>Assumptions!D127</f>
        <v>0</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65" t="s">
        <v>129</v>
      </c>
      <c r="B125" s="88">
        <f>Assumptions!D128</f>
        <v>0</v>
      </c>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65" t="s">
        <v>131</v>
      </c>
      <c r="B126" s="88">
        <f>Assumptions!D129</f>
        <v>0</v>
      </c>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65" t="s">
        <v>132</v>
      </c>
      <c r="B127" s="88">
        <f>Assumptions!D130</f>
        <v>0</v>
      </c>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65" t="s">
        <v>133</v>
      </c>
      <c r="B128" s="88">
        <f>Assumptions!D131</f>
        <v>0</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65" t="s">
        <v>134</v>
      </c>
      <c r="B129" s="89">
        <f>Assumptions!D132</f>
        <v>0</v>
      </c>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85" t="s">
        <v>214</v>
      </c>
      <c r="B130" s="90">
        <f>SUM(B115:B129)</f>
        <v>0</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85"/>
      <c r="B131" s="90"/>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85" t="s">
        <v>215</v>
      </c>
      <c r="B132" s="88"/>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87" t="s">
        <v>136</v>
      </c>
      <c r="B133" s="88">
        <f>Assumptions!D135</f>
        <v>0</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87" t="s">
        <v>137</v>
      </c>
      <c r="B134" s="89">
        <f>Assumptions!D136</f>
        <v>0</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85" t="s">
        <v>216</v>
      </c>
      <c r="B135" s="90">
        <f>SUM(B133:B134)</f>
        <v>0</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85"/>
      <c r="B136" s="90"/>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85" t="s">
        <v>217</v>
      </c>
      <c r="B137" s="8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87" t="s">
        <v>218</v>
      </c>
      <c r="B138" s="88">
        <f>IF(AND(Assumptions!$H139="Total"),Assumptions!D139,IF(AND(Assumptions!$H139="Per Pupil"),Assumptions!D139*Assumptions!D$22,0))</f>
        <v>5500</v>
      </c>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87" t="s">
        <v>219</v>
      </c>
      <c r="B139" s="88">
        <f>IF(AND(Assumptions!$H140="Total"),Assumptions!D140,IF(AND(Assumptions!$H140="Per Pupil"),Assumptions!D140*Assumptions!D$22,0))</f>
        <v>15000</v>
      </c>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65" t="s">
        <v>220</v>
      </c>
      <c r="B140" s="88">
        <f>IF(AND(Assumptions!$H141="Total"),Assumptions!D141,IF(AND(Assumptions!$H141="Per Pupil"),Assumptions!D141*Assumptions!D$22,0))</f>
        <v>15000</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87" t="s">
        <v>221</v>
      </c>
      <c r="B141" s="88">
        <f>IF(AND(Assumptions!$H142="Total"),Assumptions!D142,IF(AND(Assumptions!$H142="Per Pupil"),Assumptions!D142*Assumptions!D$22,0))</f>
        <v>15000</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87" t="s">
        <v>222</v>
      </c>
      <c r="B142" s="88">
        <f>IF(AND(Assumptions!$H143="Total"),Assumptions!D143,IF(AND(Assumptions!$H143="Per Pupil"),Assumptions!D143*Assumptions!D$22,0))</f>
        <v>90000</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87" t="s">
        <v>223</v>
      </c>
      <c r="B143" s="88">
        <f>IF(AND(Assumptions!$H144="Total"),Assumptions!D144,IF(AND(Assumptions!$H144="Per Pupil"),Assumptions!D144*Assumptions!D$22,0))</f>
        <v>2500</v>
      </c>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87" t="s">
        <v>224</v>
      </c>
      <c r="B144" s="88">
        <f>IF(AND(Assumptions!$H145="Total"),Assumptions!D145,IF(AND(Assumptions!$H145="Per Pupil"),Assumptions!D145*Assumptions!D$22,0))</f>
        <v>6000</v>
      </c>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87" t="s">
        <v>225</v>
      </c>
      <c r="B145" s="88">
        <f>IF(AND(Assumptions!$H146="Total"),Assumptions!D146,IF(AND(Assumptions!$H146="Per Pupil"),Assumptions!D146*Assumptions!D$22,0))</f>
        <v>80000</v>
      </c>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87" t="s">
        <v>226</v>
      </c>
      <c r="B146" s="88">
        <f>IF(AND(Assumptions!$H149="Total"),Assumptions!D149,IF(AND(Assumptions!$H149="Per Pupil"),Assumptions!D149*Assumptions!D$22,0))</f>
        <v>1620000</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87" t="s">
        <v>227</v>
      </c>
      <c r="B147" s="88">
        <f>IF(AND(Assumptions!$H151="Total"),Assumptions!D151,IF(AND(Assumptions!$H151="Per Pupil"),Assumptions!D151*Assumptions!D$22,0))</f>
        <v>0</v>
      </c>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87" t="s">
        <v>228</v>
      </c>
      <c r="B148" s="88">
        <f>IF(AND(Assumptions!$H152="Total"),Assumptions!D152,IF(AND(Assumptions!$H152="Per Pupil"),Assumptions!D152*Assumptions!D$22,0))</f>
        <v>0</v>
      </c>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87" t="s">
        <v>229</v>
      </c>
      <c r="B149" s="88">
        <f>IF(AND(Assumptions!$H153="Total"),Assumptions!D153,IF(AND(Assumptions!$H153="Per Pupil"),Assumptions!D153*Assumptions!D$22,0))</f>
        <v>35000</v>
      </c>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87" t="s">
        <v>230</v>
      </c>
      <c r="B150" s="88">
        <f>IF(AND(Assumptions!$H154="Total"),Assumptions!D154,IF(AND(Assumptions!$H154="Per Pupil"),Assumptions!D154*Assumptions!D$22,0))</f>
        <v>64000</v>
      </c>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87" t="s">
        <v>231</v>
      </c>
      <c r="B151" s="88">
        <f>IF(AND(Assumptions!$H155="Total"),Assumptions!D155,IF(AND(Assumptions!$H155="Per Pupil"),Assumptions!D155*Assumptions!D$22,0))</f>
        <v>11500</v>
      </c>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87" t="s">
        <v>232</v>
      </c>
      <c r="B152" s="88">
        <f>IF(AND(Assumptions!$H156="Total"),Assumptions!D156,IF(AND(Assumptions!$H156="Per Pupil"),Assumptions!D156*Assumptions!D$22,0))</f>
        <v>1250</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87" t="s">
        <v>233</v>
      </c>
      <c r="B153" s="88">
        <f>IF(AND(Assumptions!$H157="Total"),Assumptions!D157,IF(AND(Assumptions!$H157="Per Pupil"),Assumptions!D157*Assumptions!D$22,0))</f>
        <v>15000</v>
      </c>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87" t="s">
        <v>234</v>
      </c>
      <c r="B154" s="88">
        <f>IF(AND(Assumptions!$H158="Total"),Assumptions!D158,IF(AND(Assumptions!$H158="Per Pupil"),Assumptions!D158*Assumptions!D$22,0))</f>
        <v>15000</v>
      </c>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87" t="s">
        <v>235</v>
      </c>
      <c r="B155" s="88">
        <f>IF(AND(Assumptions!$H159="Total"),Assumptions!D159,IF(AND(Assumptions!$H159="Per Pupil"),Assumptions!D159*Assumptions!D$22,0))</f>
        <v>4000</v>
      </c>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87" t="s">
        <v>236</v>
      </c>
      <c r="B156" s="88">
        <f>IF(AND(Assumptions!$H160="Total"),Assumptions!D160,IF(AND(Assumptions!$H160="Per Pupil"),Assumptions!D160*Assumptions!D$22,0))</f>
        <v>1100</v>
      </c>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87" t="s">
        <v>237</v>
      </c>
      <c r="B157" s="88">
        <f>IF(AND(Assumptions!$H161="Total"),Assumptions!D161,IF(AND(Assumptions!$H161="Per Pupil"),Assumptions!D161*Assumptions!D$22,0))</f>
        <v>10000</v>
      </c>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87" t="str">
        <f>Assumptions!A162</f>
        <v>Oasis HR Services</v>
      </c>
      <c r="B158" s="88">
        <f>IF(AND(Assumptions!$H162="Total"),Assumptions!D162,IF(AND(Assumptions!$H162="Per Pupil"),Assumptions!D162*Assumptions!D$22,0))</f>
        <v>44000</v>
      </c>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87" t="str">
        <f>Assumptions!A163</f>
        <v>Audit Fees</v>
      </c>
      <c r="B159" s="88">
        <f>IF(AND(Assumptions!$H163="Total"),Assumptions!D163,IF(AND(Assumptions!$H163="Per Pupil"),Assumptions!D163*Assumptions!D$22,0))</f>
        <v>12500</v>
      </c>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87" t="str">
        <f>Assumptions!A164</f>
        <v>Accounting Fees</v>
      </c>
      <c r="B160" s="88">
        <f>IF(AND(Assumptions!$H164="Total"),Assumptions!D164,IF(AND(Assumptions!$H164="Per Pupil"),Assumptions!D164*Assumptions!D$22,0))</f>
        <v>18000</v>
      </c>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87" t="str">
        <f>Assumptions!A165</f>
        <v>Other</v>
      </c>
      <c r="B161" s="88">
        <f>IF(AND(Assumptions!$H165="Total"),Assumptions!D165,IF(AND(Assumptions!$H165="Per Pupil"),Assumptions!D165*Assumptions!D$22,0))</f>
        <v>0</v>
      </c>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87" t="str">
        <f>Assumptions!A166</f>
        <v>IT Services</v>
      </c>
      <c r="B162" s="88">
        <f>IF(AND(Assumptions!$H166="Total"),Assumptions!D166,IF(AND(Assumptions!$H166="Per Pupil"),Assumptions!D166*Assumptions!D$22,0))</f>
        <v>30000</v>
      </c>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87" t="str">
        <f>Assumptions!A167</f>
        <v>Special Education Contracted Services</v>
      </c>
      <c r="B163" s="88">
        <f>IF(AND(Assumptions!$H167="Total"),Assumptions!D167,IF(AND(Assumptions!$H167="Per Pupil"),Assumptions!D167*Assumptions!D$22,0))</f>
        <v>150000</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87" t="str">
        <f>Assumptions!A168</f>
        <v>Other</v>
      </c>
      <c r="B164" s="88">
        <f>IF(AND(Assumptions!$H168="Total"),Assumptions!D168,IF(AND(Assumptions!$H168="Per Pupil"),Assumptions!D168*Assumptions!D$22,0))</f>
        <v>0</v>
      </c>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87" t="str">
        <f>Assumptions!A169</f>
        <v>Other</v>
      </c>
      <c r="B165" s="89">
        <f>IF(AND(Assumptions!$H169="Total"),Assumptions!D169,IF(AND(Assumptions!$H169="Per Pupil"),Assumptions!D169*Assumptions!D$22,0))</f>
        <v>0</v>
      </c>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85" t="s">
        <v>238</v>
      </c>
      <c r="B166" s="90">
        <f>SUM(B138:B165)</f>
        <v>2260350</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85"/>
      <c r="B167" s="90"/>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85" t="s">
        <v>239</v>
      </c>
      <c r="B168" s="88"/>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87" t="s">
        <v>240</v>
      </c>
      <c r="B169" s="88">
        <f>Assumptions!D172</f>
        <v>65000</v>
      </c>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87" t="s">
        <v>241</v>
      </c>
      <c r="B170" s="88">
        <f>Assumptions!D173</f>
        <v>20000</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87" t="s">
        <v>242</v>
      </c>
      <c r="B171" s="88">
        <f>Assumptions!D174</f>
        <v>40000</v>
      </c>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87" t="s">
        <v>243</v>
      </c>
      <c r="B172" s="88">
        <f>Assumptions!D175</f>
        <v>8500</v>
      </c>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87" t="s">
        <v>244</v>
      </c>
      <c r="B173" s="89">
        <f>Assumptions!D176</f>
        <v>0</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85" t="s">
        <v>245</v>
      </c>
      <c r="B174" s="90">
        <f>SUM(B169:B173)</f>
        <v>133500</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85"/>
      <c r="B175" s="90"/>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85" t="s">
        <v>246</v>
      </c>
      <c r="B176" s="90"/>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87" t="s">
        <v>247</v>
      </c>
      <c r="B177" s="88">
        <f>Assumptions!D179</f>
        <v>2500</v>
      </c>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87" t="s">
        <v>248</v>
      </c>
      <c r="B178" s="88">
        <f>Assumptions!D180</f>
        <v>0</v>
      </c>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87" t="s">
        <v>249</v>
      </c>
      <c r="B179" s="88">
        <f>Assumptions!D181</f>
        <v>0</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87" t="s">
        <v>250</v>
      </c>
      <c r="B180" s="89">
        <f>Assumptions!D182</f>
        <v>2500</v>
      </c>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85" t="s">
        <v>251</v>
      </c>
      <c r="B181" s="90">
        <f>SUM(B177:B180)</f>
        <v>5000</v>
      </c>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85"/>
      <c r="B182" s="90"/>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85" t="s">
        <v>252</v>
      </c>
      <c r="B183" s="90"/>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87" t="s">
        <v>253</v>
      </c>
      <c r="B184" s="88">
        <f>Assumptions!D185</f>
        <v>5310.7650000000003</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87" t="s">
        <v>254</v>
      </c>
      <c r="B185" s="89">
        <f>Assumptions!D186</f>
        <v>0</v>
      </c>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85" t="s">
        <v>255</v>
      </c>
      <c r="B186" s="90">
        <f>SUM(B184:B185)</f>
        <v>5310.7650000000003</v>
      </c>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85"/>
      <c r="B187" s="90"/>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 r="A188" s="100" t="s">
        <v>256</v>
      </c>
      <c r="B188" s="92">
        <f>B186+B181+B174+B166+B135+B130+B112+B106+B98+B92+B86+B80+B75+B67+B55</f>
        <v>6035557.9662500005</v>
      </c>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23"/>
      <c r="B189" s="90"/>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23" t="s">
        <v>257</v>
      </c>
      <c r="B190" s="101"/>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87"/>
      <c r="B191" s="88"/>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 r="A192" s="102" t="s">
        <v>258</v>
      </c>
      <c r="B192" s="90">
        <f>B28-B188-B190</f>
        <v>605838.03374999948</v>
      </c>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30">
      <c r="A193" s="103" t="s">
        <v>259</v>
      </c>
      <c r="B193" s="88">
        <f>(B28-B26)*0.03-B196</f>
        <v>66957.48000000001</v>
      </c>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104" t="s">
        <v>260</v>
      </c>
      <c r="B194" s="88">
        <f>B192-B193</f>
        <v>538880.5537499995</v>
      </c>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105"/>
      <c r="B195" s="88"/>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106" t="s">
        <v>261</v>
      </c>
      <c r="B196" s="90">
        <f>'Year 1'!B197</f>
        <v>132284.4</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106" t="s">
        <v>262</v>
      </c>
      <c r="B197" s="90">
        <f>B193+B196</f>
        <v>199241.88</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105"/>
      <c r="B198" s="8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106" t="s">
        <v>263</v>
      </c>
      <c r="B199" s="90">
        <f>'Year 1'!B200</f>
        <v>162179.92025000043</v>
      </c>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106" t="s">
        <v>264</v>
      </c>
      <c r="B200" s="90">
        <f>B199+B192</f>
        <v>768017.95399999991</v>
      </c>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87"/>
      <c r="B201" s="88"/>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87"/>
      <c r="B202" s="88"/>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85"/>
      <c r="B203" s="90"/>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85"/>
      <c r="B204" s="90"/>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85"/>
      <c r="B205" s="90"/>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87"/>
      <c r="B206" s="88"/>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87"/>
      <c r="B207" s="88"/>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85"/>
      <c r="B208" s="90"/>
      <c r="C208" s="4"/>
      <c r="D208" s="4"/>
      <c r="E208" s="4"/>
      <c r="F208" s="4"/>
      <c r="G208" s="4"/>
      <c r="H208" s="4"/>
      <c r="I208" s="4"/>
      <c r="J208" s="4"/>
      <c r="K208" s="4"/>
      <c r="L208" s="4"/>
      <c r="M208" s="4"/>
      <c r="N208" s="4"/>
      <c r="O208" s="4"/>
      <c r="P208" s="4"/>
      <c r="Q208" s="4"/>
      <c r="R208" s="4"/>
      <c r="S208" s="4"/>
      <c r="T208" s="4"/>
      <c r="U208" s="4"/>
      <c r="V208" s="4"/>
      <c r="W208" s="96" t="e">
        <f>(SUM(Assumptions!D69:D77,Assumptions!D80:D84,Assumptions!D87:D88,Assumptions!D91:D93,Assumptions!D96:D98,Assumptions!D101:D103,Assumptions!D106:D106,Assumptions!#REF!,Assumptions!#REF!,Assumptions!#REF!,Assumptions!D107:D110,Assumptions!D113:D118,Assumptions!D135:D136,Assumptions!D172:D176,Assumptions!D179:D182,Assumptions!D185:D186)+IF(AND(Assumptions!$H139="Total"),Assumptions!D139,IF(AND(Assumptions!$H139="Per Pupil"),Assumptions!D139*Assumptions!D$22,0))+IF(AND(Assumptions!$H140="Total"),Assumptions!D140,IF(AND(Assumptions!$H140="Per Pupil"),Assumptions!D140*Assumptions!D$22,0))+IF(AND(Assumptions!$H141="Total"),Assumptions!D141,IF(AND(Assumptions!$H141="Per Pupil"),Assumptions!D141*Assumptions!D$22,0))+IF(AND(Assumptions!$H142="Total"),Assumptions!D142,IF(AND(Assumptions!$H142="Per Pupil"),Assumptions!D142*Assumptions!D$22,0))+IF(AND(Assumptions!$H143="Total"),Assumptions!D143,IF(AND(Assumptions!$H143="Per Pupil"),Assumptions!D143*Assumptions!D$22,0))+IF(AND(Assumptions!$H144="Total"),Assumptions!D144,IF(AND(Assumptions!$H144="Per Pupil"),Assumptions!D144*Assumptions!D$22,0))+IF(AND(Assumptions!$H145="Total"),Assumptions!D145,IF(AND(Assumptions!$H145="Per Pupil"),Assumptions!D145*Assumptions!D$22,0))+IF(AND(Assumptions!$H146="Total"),Assumptions!D146,IF(AND(Assumptions!$H146="Per Pupil"),Assumptions!D146*Assumptions!D$22,0))+IF(AND(Assumptions!$H149="Total"),Assumptions!D149,IF(AND(Assumptions!$H149="Per Pupil"),Assumptions!D149*Assumptions!D$22,0))+IF(AND(Assumptions!$H151="Total"),Assumptions!D151,IF(AND(Assumptions!$H151="Per Pupil"),Assumptions!D151*Assumptions!D$22,0))+IF(AND(Assumptions!$H152="Total"),Assumptions!D152,IF(AND(Assumptions!$H152="Per Pupil"),Assumptions!D152*Assumptions!D$22,0))+IF(AND(Assumptions!$H153="Total"),Assumptions!D153,IF(AND(Assumptions!$H153="Per Pupil"),Assumptions!D153*Assumptions!D$22,0))+IF(AND(Assumptions!$H154="Total"),Assumptions!D154,IF(AND(Assumptions!$H154="Per Pupil"),Assumptions!D154*Assumptions!D$22,0))+IF(AND(Assumptions!$H155="Total"),Assumptions!D155,IF(AND(Assumptions!$H155="Per Pupil"),Assumptions!D155*Assumptions!D$22,0))+IF(AND(Assumptions!$H156="Total"),Assumptions!D156,IF(AND(Assumptions!$H156="Per Pupil"),Assumptions!D156*Assumptions!D$22,0))+IF(AND(Assumptions!$H157="Total"),Assumptions!D157,IF(AND(Assumptions!$H157="Per Pupil"),Assumptions!D157*Assumptions!D$22,0))+IF(AND(Assumptions!$H158="Total"),Assumptions!D158,IF(AND(Assumptions!$H158="Per Pupil"),Assumptions!D158*Assumptions!D$22,0))+IF(AND(Assumptions!$H159="Total"),Assumptions!D159,IF(AND(Assumptions!$H159="Per Pupil"),Assumptions!D159*Assumptions!D$22,0))+IF(AND(Assumptions!$H160="Total"),Assumptions!D160,IF(AND(Assumptions!$H160="Per Pupil"),Assumptions!D160*Assumptions!D$22,0))+IF(AND(Assumptions!$H161="Total"),Assumptions!D161,IF(AND(Assumptions!$H161="Per Pupil"),Assumptions!D161*Assumptions!D$22,0))+IF(AND(Assumptions!$H162="Total"),Assumptions!D162,IF(AND(Assumptions!$H162="Per Pupil"),Assumptions!D162*Assumptions!D$22,0))+IF(AND(Assumptions!$H163="Total"),Assumptions!D163,IF(AND(Assumptions!$H163="Per Pupil"),Assumptions!D163*Assumptions!D$22,0))+IF(AND(Assumptions!$H164="Total"),Assumptions!D164,IF(AND(Assumptions!$H164="Per Pupil"),Assumptions!D164*Assumptions!D$22,0))+IF(AND(Assumptions!$H165="Total"),Assumptions!D165,IF(AND(Assumptions!$H165="Per Pupil"),Assumptions!D165*Assumptions!D$22,0))+IF(AND(Assumptions!$H166="Total"),Assumptions!D166,IF(AND(Assumptions!$H166="Per Pupil"),Assumptions!D166*Assumptions!D$22,0))+IF(AND(Assumptions!$H167="Total"),Assumptions!D167,IF(AND(Assumptions!$H167="Per Pupil"),Assumptions!D167*Assumptions!D$22,0))+IF(AND(Assumptions!$H168="Total"),Assumptions!D168,IF(AND(Assumptions!$H168="Per Pupil"),Assumptions!D168*Assumptions!D$22,0))+IF(AND(Assumptions!$H169="Total"),Assumptions!D169,IF(AND(Assumptions!$H169="Per Pupil"),Assumptions!D169*Assumptions!D$22,0)))-($B$210-$B$55)</f>
        <v>#REF!</v>
      </c>
      <c r="X208" s="96"/>
      <c r="Y208" s="4"/>
      <c r="Z208" s="4"/>
    </row>
    <row r="209" spans="1:26">
      <c r="A209" s="85"/>
      <c r="B209" s="90"/>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 r="A210" s="108"/>
      <c r="B210" s="90"/>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23"/>
      <c r="B211" s="90"/>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23"/>
      <c r="B212" s="90"/>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87"/>
      <c r="B213" s="88"/>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 r="A214" s="109"/>
      <c r="B214" s="110"/>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111"/>
      <c r="B215" s="112"/>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111"/>
      <c r="B216" s="112"/>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11"/>
      <c r="B217" s="112"/>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10"/>
      <c r="B218" s="110"/>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10"/>
      <c r="B219" s="110"/>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B1"/>
    <mergeCell ref="A2:B2"/>
    <mergeCell ref="A6:B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5" topLeftCell="A6" activePane="bottomLeft" state="frozen"/>
      <selection pane="bottomLeft" activeCell="B7" sqref="B7"/>
    </sheetView>
  </sheetViews>
  <sheetFormatPr defaultColWidth="14.42578125" defaultRowHeight="15" customHeight="1"/>
  <cols>
    <col min="1" max="1" width="71.28515625" customWidth="1"/>
    <col min="2" max="2" width="14.28515625" customWidth="1"/>
    <col min="3" max="24" width="9.140625" customWidth="1"/>
    <col min="25" max="26" width="8.7109375" customWidth="1"/>
  </cols>
  <sheetData>
    <row r="1" spans="1:26" ht="18.75">
      <c r="A1" s="322" t="str">
        <f>TEXT(Assumptions!A1,1)</f>
        <v>Leman Academy of Excellence</v>
      </c>
      <c r="B1" s="297"/>
      <c r="C1" s="80"/>
      <c r="D1" s="80"/>
      <c r="E1" s="80"/>
      <c r="F1" s="80"/>
      <c r="G1" s="80"/>
      <c r="H1" s="80"/>
      <c r="I1" s="80"/>
      <c r="J1" s="80"/>
      <c r="K1" s="80"/>
      <c r="L1" s="80"/>
      <c r="M1" s="80"/>
      <c r="N1" s="80"/>
      <c r="O1" s="80"/>
      <c r="P1" s="80"/>
      <c r="Q1" s="80"/>
      <c r="R1" s="80"/>
      <c r="S1" s="80"/>
      <c r="T1" s="80"/>
      <c r="U1" s="80"/>
      <c r="V1" s="80"/>
      <c r="W1" s="80"/>
      <c r="X1" s="80"/>
      <c r="Y1" s="80"/>
      <c r="Z1" s="80"/>
    </row>
    <row r="2" spans="1:26" ht="18.75">
      <c r="A2" s="323" t="s">
        <v>337</v>
      </c>
      <c r="B2" s="305"/>
      <c r="C2" s="80"/>
      <c r="D2" s="80"/>
      <c r="E2" s="80"/>
      <c r="F2" s="80"/>
      <c r="G2" s="80"/>
      <c r="H2" s="80"/>
      <c r="I2" s="80"/>
      <c r="J2" s="80"/>
      <c r="K2" s="80"/>
      <c r="L2" s="80"/>
      <c r="M2" s="80"/>
      <c r="N2" s="80"/>
      <c r="O2" s="80"/>
      <c r="P2" s="80"/>
      <c r="Q2" s="80"/>
      <c r="R2" s="80"/>
      <c r="S2" s="80"/>
      <c r="T2" s="80"/>
      <c r="U2" s="80"/>
      <c r="V2" s="80"/>
      <c r="W2" s="80"/>
      <c r="X2" s="80"/>
      <c r="Y2" s="80"/>
      <c r="Z2" s="80"/>
    </row>
    <row r="3" spans="1:26" ht="18.75">
      <c r="A3" s="81" t="s">
        <v>20</v>
      </c>
      <c r="B3" s="82">
        <f>Assumptions!E21</f>
        <v>952.5</v>
      </c>
      <c r="C3" s="80"/>
      <c r="D3" s="80"/>
      <c r="E3" s="80"/>
      <c r="F3" s="80"/>
      <c r="G3" s="80"/>
      <c r="H3" s="80"/>
      <c r="I3" s="80"/>
      <c r="J3" s="80"/>
      <c r="K3" s="80"/>
      <c r="L3" s="80"/>
      <c r="M3" s="80"/>
      <c r="N3" s="80"/>
      <c r="O3" s="80"/>
      <c r="P3" s="80"/>
      <c r="Q3" s="80"/>
      <c r="R3" s="80"/>
      <c r="S3" s="80"/>
      <c r="T3" s="80"/>
      <c r="U3" s="80"/>
      <c r="V3" s="80"/>
      <c r="W3" s="80"/>
      <c r="X3" s="80"/>
      <c r="Y3" s="80"/>
      <c r="Z3" s="80"/>
    </row>
    <row r="4" spans="1:26">
      <c r="A4" s="81" t="s">
        <v>142</v>
      </c>
      <c r="B4" s="82">
        <f>Assumptions!E22</f>
        <v>962.5</v>
      </c>
      <c r="C4" s="4"/>
      <c r="D4" s="4"/>
      <c r="E4" s="4"/>
      <c r="F4" s="4"/>
      <c r="G4" s="4"/>
      <c r="H4" s="4"/>
      <c r="I4" s="4"/>
      <c r="J4" s="4"/>
      <c r="K4" s="4"/>
      <c r="L4" s="4"/>
      <c r="M4" s="4"/>
      <c r="N4" s="4"/>
      <c r="O4" s="4"/>
      <c r="P4" s="4"/>
      <c r="Q4" s="4"/>
      <c r="R4" s="4"/>
      <c r="S4" s="4"/>
      <c r="T4" s="4"/>
      <c r="U4" s="4"/>
      <c r="V4" s="4"/>
      <c r="W4" s="4"/>
      <c r="X4" s="4"/>
      <c r="Y4" s="4"/>
      <c r="Z4" s="4"/>
    </row>
    <row r="5" spans="1:26" ht="15.75">
      <c r="A5" s="83"/>
      <c r="B5" s="84" t="s">
        <v>143</v>
      </c>
      <c r="C5" s="4"/>
      <c r="D5" s="4"/>
      <c r="E5" s="4"/>
      <c r="F5" s="4"/>
      <c r="G5" s="4"/>
      <c r="H5" s="4"/>
      <c r="I5" s="4"/>
      <c r="J5" s="4"/>
      <c r="K5" s="4"/>
      <c r="L5" s="4"/>
      <c r="M5" s="4"/>
      <c r="N5" s="4"/>
      <c r="O5" s="4"/>
      <c r="P5" s="4"/>
      <c r="Q5" s="4"/>
      <c r="R5" s="4"/>
      <c r="S5" s="4"/>
      <c r="T5" s="4"/>
      <c r="U5" s="4"/>
      <c r="V5" s="4"/>
      <c r="W5" s="4"/>
      <c r="X5" s="4"/>
      <c r="Y5" s="4"/>
      <c r="Z5" s="4"/>
    </row>
    <row r="6" spans="1:26" ht="18.75">
      <c r="A6" s="324" t="s">
        <v>144</v>
      </c>
      <c r="B6" s="312"/>
      <c r="C6" s="4"/>
      <c r="D6" s="4"/>
      <c r="E6" s="4"/>
      <c r="F6" s="4"/>
      <c r="G6" s="4"/>
      <c r="H6" s="4"/>
      <c r="I6" s="4"/>
      <c r="J6" s="4"/>
      <c r="K6" s="4"/>
      <c r="L6" s="4"/>
      <c r="M6" s="4"/>
      <c r="N6" s="4"/>
      <c r="O6" s="4"/>
      <c r="P6" s="4"/>
      <c r="Q6" s="4"/>
      <c r="R6" s="4"/>
      <c r="S6" s="4"/>
      <c r="T6" s="4"/>
      <c r="U6" s="4"/>
      <c r="V6" s="4"/>
      <c r="W6" s="4"/>
      <c r="X6" s="4"/>
      <c r="Y6" s="4"/>
      <c r="Z6" s="4"/>
    </row>
    <row r="7" spans="1:26">
      <c r="A7" s="85" t="s">
        <v>145</v>
      </c>
      <c r="B7" s="4"/>
      <c r="C7" s="4"/>
      <c r="D7" s="4"/>
      <c r="E7" s="4"/>
      <c r="F7" s="4"/>
      <c r="G7" s="4"/>
      <c r="H7" s="4"/>
      <c r="I7" s="4"/>
      <c r="J7" s="4"/>
      <c r="K7" s="4"/>
      <c r="L7" s="4"/>
      <c r="M7" s="4"/>
      <c r="N7" s="4"/>
      <c r="O7" s="4"/>
      <c r="P7" s="4"/>
      <c r="Q7" s="4"/>
      <c r="R7" s="4"/>
      <c r="S7" s="4"/>
      <c r="T7" s="4"/>
      <c r="U7" s="4"/>
      <c r="V7" s="4"/>
      <c r="W7" s="4"/>
      <c r="X7" s="4"/>
      <c r="Y7" s="4"/>
      <c r="Z7" s="4"/>
    </row>
    <row r="8" spans="1:26">
      <c r="A8" s="87" t="s">
        <v>146</v>
      </c>
      <c r="B8" s="88">
        <f>ROUND(Assumptions!E28*Assumptions!E21,0)</f>
        <v>484834</v>
      </c>
      <c r="C8" s="4"/>
      <c r="D8" s="4"/>
      <c r="E8" s="4"/>
      <c r="F8" s="4"/>
      <c r="G8" s="4"/>
      <c r="H8" s="4"/>
      <c r="I8" s="4"/>
      <c r="J8" s="4"/>
      <c r="K8" s="4"/>
      <c r="L8" s="4"/>
      <c r="M8" s="4"/>
      <c r="N8" s="4"/>
      <c r="O8" s="4"/>
      <c r="P8" s="4"/>
      <c r="Q8" s="4"/>
      <c r="R8" s="4"/>
      <c r="S8" s="4"/>
      <c r="T8" s="4"/>
      <c r="U8" s="4"/>
      <c r="V8" s="4"/>
      <c r="W8" s="4"/>
      <c r="X8" s="4"/>
      <c r="Y8" s="4"/>
      <c r="Z8" s="4"/>
    </row>
    <row r="9" spans="1:26">
      <c r="A9" s="87" t="s">
        <v>147</v>
      </c>
      <c r="B9" s="88">
        <f>Assumptions!E29</f>
        <v>262500</v>
      </c>
      <c r="C9" s="4"/>
      <c r="D9" s="4"/>
      <c r="E9" s="4"/>
      <c r="F9" s="4"/>
      <c r="G9" s="4"/>
      <c r="H9" s="4"/>
      <c r="I9" s="4"/>
      <c r="J9" s="4"/>
      <c r="K9" s="4"/>
      <c r="L9" s="4"/>
      <c r="M9" s="4"/>
      <c r="N9" s="4"/>
      <c r="O9" s="4"/>
      <c r="P9" s="4"/>
      <c r="Q9" s="4"/>
      <c r="R9" s="4"/>
      <c r="S9" s="4"/>
      <c r="T9" s="4"/>
      <c r="U9" s="4"/>
      <c r="V9" s="4"/>
      <c r="W9" s="4"/>
      <c r="X9" s="4"/>
      <c r="Y9" s="4"/>
      <c r="Z9" s="4"/>
    </row>
    <row r="10" spans="1:26">
      <c r="A10" s="87" t="s">
        <v>148</v>
      </c>
      <c r="B10" s="88">
        <f>Assumptions!E31</f>
        <v>0</v>
      </c>
      <c r="C10" s="4"/>
      <c r="D10" s="4"/>
      <c r="E10" s="4"/>
      <c r="F10" s="4"/>
      <c r="G10" s="4"/>
      <c r="H10" s="4"/>
      <c r="I10" s="4"/>
      <c r="J10" s="4"/>
      <c r="K10" s="4"/>
      <c r="L10" s="4"/>
      <c r="M10" s="4"/>
      <c r="N10" s="4"/>
      <c r="O10" s="4"/>
      <c r="P10" s="4"/>
      <c r="Q10" s="4"/>
      <c r="R10" s="4"/>
      <c r="S10" s="4"/>
      <c r="T10" s="4"/>
      <c r="U10" s="4"/>
      <c r="V10" s="4"/>
      <c r="W10" s="4"/>
      <c r="X10" s="4"/>
      <c r="Y10" s="4"/>
      <c r="Z10" s="4"/>
    </row>
    <row r="11" spans="1:26">
      <c r="A11" s="87" t="s">
        <v>149</v>
      </c>
      <c r="B11" s="88">
        <f>Assumptions!E30</f>
        <v>0</v>
      </c>
      <c r="C11" s="4"/>
      <c r="D11" s="4"/>
      <c r="E11" s="4"/>
      <c r="F11" s="4"/>
      <c r="G11" s="4"/>
      <c r="H11" s="4"/>
      <c r="I11" s="4"/>
      <c r="J11" s="4"/>
      <c r="K11" s="4"/>
      <c r="L11" s="4"/>
      <c r="M11" s="4"/>
      <c r="N11" s="4"/>
      <c r="O11" s="4"/>
      <c r="P11" s="4"/>
      <c r="Q11" s="4"/>
      <c r="R11" s="4"/>
      <c r="S11" s="4"/>
      <c r="T11" s="4"/>
      <c r="U11" s="4"/>
      <c r="V11" s="4"/>
      <c r="W11" s="4"/>
      <c r="X11" s="4"/>
      <c r="Y11" s="4"/>
      <c r="Z11" s="4"/>
    </row>
    <row r="12" spans="1:26">
      <c r="A12" s="87" t="s">
        <v>150</v>
      </c>
      <c r="B12" s="88">
        <f>Assumptions!E33</f>
        <v>228375</v>
      </c>
      <c r="C12" s="4"/>
      <c r="D12" s="4"/>
      <c r="E12" s="4"/>
      <c r="F12" s="4"/>
      <c r="G12" s="4"/>
      <c r="H12" s="4"/>
      <c r="I12" s="4"/>
      <c r="J12" s="4"/>
      <c r="K12" s="4"/>
      <c r="L12" s="4"/>
      <c r="M12" s="4"/>
      <c r="N12" s="4"/>
      <c r="O12" s="4"/>
      <c r="P12" s="4"/>
      <c r="Q12" s="4"/>
      <c r="R12" s="4"/>
      <c r="S12" s="4"/>
      <c r="T12" s="4"/>
      <c r="U12" s="4"/>
      <c r="V12" s="4"/>
      <c r="W12" s="4"/>
      <c r="X12" s="4"/>
      <c r="Y12" s="4"/>
      <c r="Z12" s="4"/>
    </row>
    <row r="13" spans="1:26">
      <c r="A13" s="87" t="s">
        <v>151</v>
      </c>
      <c r="B13" s="88">
        <f>Assumptions!E32</f>
        <v>171450</v>
      </c>
      <c r="C13" s="4"/>
      <c r="D13" s="4"/>
      <c r="E13" s="4"/>
      <c r="F13" s="4"/>
      <c r="G13" s="4"/>
      <c r="H13" s="4"/>
      <c r="I13" s="4"/>
      <c r="J13" s="4"/>
      <c r="K13" s="4"/>
      <c r="L13" s="4"/>
      <c r="M13" s="4"/>
      <c r="N13" s="4"/>
      <c r="O13" s="4"/>
      <c r="P13" s="4"/>
      <c r="Q13" s="4"/>
      <c r="R13" s="4"/>
      <c r="S13" s="4"/>
      <c r="T13" s="4"/>
      <c r="U13" s="4"/>
      <c r="V13" s="4"/>
      <c r="W13" s="4"/>
      <c r="X13" s="4"/>
      <c r="Y13" s="4"/>
      <c r="Z13" s="4"/>
    </row>
    <row r="14" spans="1:26">
      <c r="A14" s="87" t="s">
        <v>152</v>
      </c>
      <c r="B14" s="88">
        <f>Assumptions!E35</f>
        <v>0</v>
      </c>
      <c r="C14" s="4"/>
      <c r="D14" s="4"/>
      <c r="E14" s="4"/>
      <c r="F14" s="4"/>
      <c r="G14" s="4"/>
      <c r="H14" s="4"/>
      <c r="I14" s="4"/>
      <c r="J14" s="4"/>
      <c r="K14" s="4"/>
      <c r="L14" s="4"/>
      <c r="M14" s="4"/>
      <c r="N14" s="4"/>
      <c r="O14" s="4"/>
      <c r="P14" s="4"/>
      <c r="Q14" s="4"/>
      <c r="R14" s="4"/>
      <c r="S14" s="4"/>
      <c r="T14" s="4"/>
      <c r="U14" s="4"/>
      <c r="V14" s="4"/>
      <c r="W14" s="4"/>
      <c r="X14" s="4"/>
      <c r="Y14" s="4"/>
      <c r="Z14" s="4"/>
    </row>
    <row r="15" spans="1:26">
      <c r="A15" s="87" t="s">
        <v>153</v>
      </c>
      <c r="B15" s="89">
        <f>Assumptions!E34</f>
        <v>0</v>
      </c>
      <c r="C15" s="4"/>
      <c r="D15" s="4"/>
      <c r="E15" s="4"/>
      <c r="F15" s="4"/>
      <c r="G15" s="4"/>
      <c r="H15" s="4"/>
      <c r="I15" s="4"/>
      <c r="J15" s="4"/>
      <c r="K15" s="4"/>
      <c r="L15" s="4"/>
      <c r="M15" s="4"/>
      <c r="N15" s="4"/>
      <c r="O15" s="4"/>
      <c r="P15" s="4"/>
      <c r="Q15" s="4"/>
      <c r="R15" s="4"/>
      <c r="S15" s="4"/>
      <c r="T15" s="4"/>
      <c r="U15" s="4"/>
      <c r="V15" s="4"/>
      <c r="W15" s="4"/>
      <c r="X15" s="4"/>
      <c r="Y15" s="4"/>
      <c r="Z15" s="4"/>
    </row>
    <row r="16" spans="1:26">
      <c r="A16" s="85" t="s">
        <v>154</v>
      </c>
      <c r="B16" s="90">
        <f>SUM(B8:B15)</f>
        <v>1147159</v>
      </c>
      <c r="C16" s="4"/>
      <c r="D16" s="4"/>
      <c r="E16" s="4"/>
      <c r="F16" s="4"/>
      <c r="G16" s="4"/>
      <c r="H16" s="4"/>
      <c r="I16" s="4"/>
      <c r="J16" s="4"/>
      <c r="K16" s="4"/>
      <c r="L16" s="4"/>
      <c r="M16" s="4"/>
      <c r="N16" s="4"/>
      <c r="O16" s="4"/>
      <c r="P16" s="4"/>
      <c r="Q16" s="4"/>
      <c r="R16" s="4"/>
      <c r="S16" s="4"/>
      <c r="T16" s="4"/>
      <c r="U16" s="4"/>
      <c r="V16" s="4"/>
      <c r="W16" s="4"/>
      <c r="X16" s="4"/>
      <c r="Y16" s="4"/>
      <c r="Z16" s="4"/>
    </row>
    <row r="17" spans="1:26">
      <c r="A17" s="87"/>
      <c r="B17" s="88"/>
      <c r="C17" s="4"/>
      <c r="D17" s="4"/>
      <c r="E17" s="4"/>
      <c r="F17" s="4"/>
      <c r="G17" s="4"/>
      <c r="H17" s="4"/>
      <c r="I17" s="4"/>
      <c r="J17" s="4"/>
      <c r="K17" s="4"/>
      <c r="L17" s="4"/>
      <c r="M17" s="4"/>
      <c r="N17" s="4"/>
      <c r="O17" s="4"/>
      <c r="P17" s="4"/>
      <c r="Q17" s="4"/>
      <c r="R17" s="4"/>
      <c r="S17" s="4"/>
      <c r="T17" s="4"/>
      <c r="U17" s="4"/>
      <c r="V17" s="4"/>
      <c r="W17" s="4"/>
      <c r="X17" s="4"/>
      <c r="Y17" s="4"/>
      <c r="Z17" s="4"/>
    </row>
    <row r="18" spans="1:26">
      <c r="A18" s="85" t="s">
        <v>155</v>
      </c>
      <c r="B18" s="88"/>
      <c r="C18" s="4"/>
      <c r="D18" s="4"/>
      <c r="E18" s="4"/>
      <c r="F18" s="4"/>
      <c r="G18" s="4"/>
      <c r="H18" s="4"/>
      <c r="I18" s="4"/>
      <c r="J18" s="4"/>
      <c r="K18" s="4"/>
      <c r="L18" s="4"/>
      <c r="M18" s="4"/>
      <c r="N18" s="4"/>
      <c r="O18" s="4"/>
      <c r="P18" s="4"/>
      <c r="Q18" s="4"/>
      <c r="R18" s="4"/>
      <c r="S18" s="4"/>
      <c r="T18" s="4"/>
      <c r="U18" s="4"/>
      <c r="V18" s="4"/>
      <c r="W18" s="4"/>
      <c r="X18" s="4"/>
      <c r="Y18" s="4"/>
      <c r="Z18" s="4"/>
    </row>
    <row r="19" spans="1:26">
      <c r="A19" s="87" t="s">
        <v>156</v>
      </c>
      <c r="B19" s="88">
        <f>ROUND(Assumptions!E27*Assumptions!E22,0)</f>
        <v>7348163</v>
      </c>
      <c r="C19" s="4"/>
      <c r="D19" s="4"/>
      <c r="E19" s="4"/>
      <c r="F19" s="4"/>
      <c r="G19" s="4"/>
      <c r="H19" s="4"/>
      <c r="I19" s="4"/>
      <c r="J19" s="4"/>
      <c r="K19" s="4"/>
      <c r="L19" s="4"/>
      <c r="M19" s="4"/>
      <c r="N19" s="4"/>
      <c r="O19" s="4"/>
      <c r="P19" s="4"/>
      <c r="Q19" s="4"/>
      <c r="R19" s="4"/>
      <c r="S19" s="4"/>
      <c r="T19" s="4"/>
      <c r="U19" s="4"/>
      <c r="V19" s="4"/>
      <c r="W19" s="4"/>
      <c r="X19" s="4"/>
      <c r="Y19" s="4"/>
      <c r="Z19" s="4"/>
    </row>
    <row r="20" spans="1:26">
      <c r="A20" s="87" t="s">
        <v>157</v>
      </c>
      <c r="B20" s="88">
        <f>ROUND(Assumptions!E36*Assumptions!E21,0)</f>
        <v>190500</v>
      </c>
      <c r="C20" s="4"/>
      <c r="D20" s="4"/>
      <c r="E20" s="4"/>
      <c r="F20" s="4"/>
      <c r="G20" s="4"/>
      <c r="H20" s="4"/>
      <c r="I20" s="4"/>
      <c r="J20" s="4"/>
      <c r="K20" s="4"/>
      <c r="L20" s="4"/>
      <c r="M20" s="4"/>
      <c r="N20" s="4"/>
      <c r="O20" s="4"/>
      <c r="P20" s="4"/>
      <c r="Q20" s="4"/>
      <c r="R20" s="4"/>
      <c r="S20" s="4"/>
      <c r="T20" s="4"/>
      <c r="U20" s="4"/>
      <c r="V20" s="4"/>
      <c r="W20" s="4"/>
      <c r="X20" s="4"/>
      <c r="Y20" s="4"/>
      <c r="Z20" s="4"/>
    </row>
    <row r="21" spans="1:26">
      <c r="A21" s="87" t="s">
        <v>158</v>
      </c>
      <c r="B21" s="89">
        <f>Assumptions!E38</f>
        <v>0</v>
      </c>
      <c r="C21" s="4"/>
      <c r="D21" s="4"/>
      <c r="E21" s="4"/>
      <c r="F21" s="4"/>
      <c r="G21" s="4"/>
      <c r="H21" s="4"/>
      <c r="I21" s="4"/>
      <c r="J21" s="4"/>
      <c r="K21" s="4"/>
      <c r="L21" s="4"/>
      <c r="M21" s="4"/>
      <c r="N21" s="4"/>
      <c r="O21" s="4"/>
      <c r="P21" s="4"/>
      <c r="Q21" s="4"/>
      <c r="R21" s="4"/>
      <c r="S21" s="4"/>
      <c r="T21" s="4"/>
      <c r="U21" s="4"/>
      <c r="V21" s="4"/>
      <c r="W21" s="4"/>
      <c r="X21" s="4"/>
      <c r="Y21" s="4"/>
      <c r="Z21" s="4"/>
    </row>
    <row r="22" spans="1:26">
      <c r="A22" s="85" t="s">
        <v>159</v>
      </c>
      <c r="B22" s="90">
        <f>SUM(B19:B21)</f>
        <v>7538663</v>
      </c>
      <c r="C22" s="4"/>
      <c r="D22" s="4"/>
      <c r="E22" s="4"/>
      <c r="F22" s="4"/>
      <c r="G22" s="4"/>
      <c r="H22" s="4"/>
      <c r="I22" s="4"/>
      <c r="J22" s="4"/>
      <c r="K22" s="4"/>
      <c r="L22" s="4"/>
      <c r="M22" s="4"/>
      <c r="N22" s="4"/>
      <c r="O22" s="4"/>
      <c r="P22" s="4"/>
      <c r="Q22" s="4"/>
      <c r="R22" s="4"/>
      <c r="S22" s="4"/>
      <c r="T22" s="4"/>
      <c r="U22" s="4"/>
      <c r="V22" s="4"/>
      <c r="W22" s="4"/>
      <c r="X22" s="4"/>
      <c r="Y22" s="4"/>
      <c r="Z22" s="4"/>
    </row>
    <row r="23" spans="1:26">
      <c r="A23" s="87"/>
      <c r="B23" s="88"/>
      <c r="C23" s="4"/>
      <c r="D23" s="4"/>
      <c r="E23" s="4"/>
      <c r="F23" s="4"/>
      <c r="G23" s="4"/>
      <c r="H23" s="4"/>
      <c r="I23" s="4"/>
      <c r="J23" s="4"/>
      <c r="K23" s="4"/>
      <c r="L23" s="4"/>
      <c r="M23" s="4"/>
      <c r="N23" s="4"/>
      <c r="O23" s="4"/>
      <c r="P23" s="4"/>
      <c r="Q23" s="4"/>
      <c r="R23" s="4"/>
      <c r="S23" s="4"/>
      <c r="T23" s="4"/>
      <c r="U23" s="4"/>
      <c r="V23" s="4"/>
      <c r="W23" s="4"/>
      <c r="X23" s="4"/>
      <c r="Y23" s="4"/>
      <c r="Z23" s="4"/>
    </row>
    <row r="24" spans="1:26">
      <c r="A24" s="85" t="s">
        <v>160</v>
      </c>
      <c r="B24" s="88"/>
      <c r="C24" s="4"/>
      <c r="D24" s="4"/>
      <c r="E24" s="4"/>
      <c r="F24" s="4"/>
      <c r="G24" s="4"/>
      <c r="H24" s="4"/>
      <c r="I24" s="4"/>
      <c r="J24" s="4"/>
      <c r="K24" s="4"/>
      <c r="L24" s="4"/>
      <c r="M24" s="4"/>
      <c r="N24" s="4"/>
      <c r="O24" s="4"/>
      <c r="P24" s="4"/>
      <c r="Q24" s="4"/>
      <c r="R24" s="4"/>
      <c r="S24" s="4"/>
      <c r="T24" s="4"/>
      <c r="U24" s="4"/>
      <c r="V24" s="4"/>
      <c r="W24" s="4"/>
      <c r="X24" s="4"/>
      <c r="Y24" s="4"/>
      <c r="Z24" s="4"/>
    </row>
    <row r="25" spans="1:26">
      <c r="A25" s="87" t="s">
        <v>161</v>
      </c>
      <c r="B25" s="89">
        <f>Assumptions!E37</f>
        <v>0</v>
      </c>
      <c r="C25" s="4"/>
      <c r="D25" s="4"/>
      <c r="E25" s="4"/>
      <c r="F25" s="4"/>
      <c r="G25" s="4"/>
      <c r="H25" s="4"/>
      <c r="I25" s="4"/>
      <c r="J25" s="4"/>
      <c r="K25" s="4"/>
      <c r="L25" s="4"/>
      <c r="M25" s="4"/>
      <c r="N25" s="4"/>
      <c r="O25" s="4"/>
      <c r="P25" s="4"/>
      <c r="Q25" s="4"/>
      <c r="R25" s="4"/>
      <c r="S25" s="4"/>
      <c r="T25" s="4"/>
      <c r="U25" s="4"/>
      <c r="V25" s="4"/>
      <c r="W25" s="4"/>
      <c r="X25" s="4"/>
      <c r="Y25" s="4"/>
      <c r="Z25" s="4"/>
    </row>
    <row r="26" spans="1:26">
      <c r="A26" s="85" t="s">
        <v>162</v>
      </c>
      <c r="B26" s="90">
        <f>SUM(B25)</f>
        <v>0</v>
      </c>
      <c r="C26" s="4"/>
      <c r="D26" s="4"/>
      <c r="E26" s="4"/>
      <c r="F26" s="4"/>
      <c r="G26" s="4"/>
      <c r="H26" s="4"/>
      <c r="I26" s="4"/>
      <c r="J26" s="4"/>
      <c r="K26" s="4"/>
      <c r="L26" s="4"/>
      <c r="M26" s="4"/>
      <c r="N26" s="4"/>
      <c r="O26" s="4"/>
      <c r="P26" s="4"/>
      <c r="Q26" s="4"/>
      <c r="R26" s="4"/>
      <c r="S26" s="4"/>
      <c r="T26" s="4"/>
      <c r="U26" s="4"/>
      <c r="V26" s="4"/>
      <c r="W26" s="4"/>
      <c r="X26" s="4"/>
      <c r="Y26" s="4"/>
      <c r="Z26" s="4"/>
    </row>
    <row r="27" spans="1:26">
      <c r="A27" s="85"/>
      <c r="B27" s="90"/>
      <c r="C27" s="4"/>
      <c r="D27" s="4"/>
      <c r="E27" s="4"/>
      <c r="F27" s="4"/>
      <c r="G27" s="4"/>
      <c r="H27" s="4"/>
      <c r="I27" s="4"/>
      <c r="J27" s="4"/>
      <c r="K27" s="4"/>
      <c r="L27" s="4"/>
      <c r="M27" s="4"/>
      <c r="N27" s="4"/>
      <c r="O27" s="4"/>
      <c r="P27" s="4"/>
      <c r="Q27" s="4"/>
      <c r="R27" s="4"/>
      <c r="S27" s="4"/>
      <c r="T27" s="4"/>
      <c r="U27" s="4"/>
      <c r="V27" s="4"/>
      <c r="W27" s="4"/>
      <c r="X27" s="4"/>
      <c r="Y27" s="4"/>
      <c r="Z27" s="4"/>
    </row>
    <row r="28" spans="1:26" ht="15.75">
      <c r="A28" s="91" t="s">
        <v>163</v>
      </c>
      <c r="B28" s="92">
        <f>SUM(B16,B22,B26)</f>
        <v>8685822</v>
      </c>
      <c r="C28" s="4"/>
      <c r="D28" s="4"/>
      <c r="E28" s="4"/>
      <c r="F28" s="4"/>
      <c r="G28" s="4"/>
      <c r="H28" s="4"/>
      <c r="I28" s="4"/>
      <c r="J28" s="4"/>
      <c r="K28" s="4"/>
      <c r="L28" s="4"/>
      <c r="M28" s="4"/>
      <c r="N28" s="4"/>
      <c r="O28" s="4"/>
      <c r="P28" s="4"/>
      <c r="Q28" s="4"/>
      <c r="R28" s="4"/>
      <c r="S28" s="4"/>
      <c r="T28" s="4"/>
      <c r="U28" s="4"/>
      <c r="V28" s="4"/>
      <c r="W28" s="93">
        <f>(Assumptions!E27*Assumptions!E22+Assumptions!E28*Assumptions!E21+Assumptions!E36*Assumptions!E22+Assumptions!E29+Assumptions!E30+Assumptions!E31+Assumptions!E32+Assumptions!E33+Assumptions!E34+Assumptions!E35+Assumptions!E37+Assumptions!E38)-'Year 0'!$B$28</f>
        <v>8687822.0599999987</v>
      </c>
      <c r="X28" s="4" t="s">
        <v>164</v>
      </c>
      <c r="Y28" s="4"/>
      <c r="Z28" s="4"/>
    </row>
    <row r="29" spans="1:26">
      <c r="A29" s="4"/>
      <c r="B29" s="88"/>
      <c r="C29" s="4"/>
      <c r="D29" s="4"/>
      <c r="E29" s="4"/>
      <c r="F29" s="4"/>
      <c r="G29" s="4"/>
      <c r="H29" s="4"/>
      <c r="I29" s="4"/>
      <c r="J29" s="4"/>
      <c r="K29" s="4"/>
      <c r="L29" s="4"/>
      <c r="M29" s="4"/>
      <c r="N29" s="4"/>
      <c r="O29" s="4"/>
      <c r="P29" s="4"/>
      <c r="Q29" s="4"/>
      <c r="R29" s="4"/>
      <c r="S29" s="4"/>
      <c r="T29" s="4"/>
      <c r="U29" s="4"/>
      <c r="V29" s="4"/>
      <c r="W29" s="4"/>
      <c r="X29" s="4"/>
      <c r="Y29" s="4"/>
      <c r="Z29" s="4"/>
    </row>
    <row r="30" spans="1:26" ht="18.75">
      <c r="A30" s="94" t="s">
        <v>165</v>
      </c>
      <c r="B30" s="95"/>
      <c r="C30" s="4"/>
      <c r="D30" s="4"/>
      <c r="E30" s="4"/>
      <c r="F30" s="4"/>
      <c r="G30" s="4"/>
      <c r="H30" s="4"/>
      <c r="I30" s="4"/>
      <c r="J30" s="4"/>
      <c r="K30" s="4"/>
      <c r="L30" s="4"/>
      <c r="M30" s="4"/>
      <c r="N30" s="4"/>
      <c r="O30" s="4"/>
      <c r="P30" s="4"/>
      <c r="Q30" s="4"/>
      <c r="R30" s="4"/>
      <c r="S30" s="4"/>
      <c r="T30" s="4"/>
      <c r="U30" s="4"/>
      <c r="V30" s="4"/>
      <c r="W30" s="4"/>
      <c r="X30" s="4"/>
      <c r="Y30" s="4"/>
      <c r="Z30" s="4"/>
    </row>
    <row r="31" spans="1:26">
      <c r="A31" s="85" t="s">
        <v>166</v>
      </c>
      <c r="B31" s="88"/>
      <c r="C31" s="4"/>
      <c r="D31" s="4"/>
      <c r="E31" s="4"/>
      <c r="F31" s="4"/>
      <c r="G31" s="4"/>
      <c r="H31" s="4"/>
      <c r="I31" s="4"/>
      <c r="J31" s="4"/>
      <c r="K31" s="4"/>
      <c r="L31" s="4"/>
      <c r="M31" s="4"/>
      <c r="N31" s="4"/>
      <c r="O31" s="4"/>
      <c r="P31" s="4"/>
      <c r="Q31" s="4"/>
      <c r="R31" s="4"/>
      <c r="S31" s="4"/>
      <c r="T31" s="4"/>
      <c r="U31" s="4"/>
      <c r="V31" s="4"/>
      <c r="W31" s="4"/>
      <c r="X31" s="4"/>
      <c r="Y31" s="4"/>
      <c r="Z31" s="4"/>
    </row>
    <row r="32" spans="1:26">
      <c r="A32" s="87" t="s">
        <v>167</v>
      </c>
      <c r="B32" s="88">
        <f>Assumptions!E41</f>
        <v>2399162.4000000004</v>
      </c>
      <c r="C32" s="4"/>
      <c r="D32" s="4"/>
      <c r="E32" s="4"/>
      <c r="F32" s="4"/>
      <c r="G32" s="4"/>
      <c r="H32" s="4"/>
      <c r="I32" s="4"/>
      <c r="J32" s="4"/>
      <c r="K32" s="4"/>
      <c r="L32" s="4"/>
      <c r="M32" s="4"/>
      <c r="N32" s="4"/>
      <c r="O32" s="4"/>
      <c r="P32" s="4"/>
      <c r="Q32" s="4"/>
      <c r="R32" s="4"/>
      <c r="S32" s="4"/>
      <c r="T32" s="4"/>
      <c r="U32" s="4"/>
      <c r="V32" s="4"/>
      <c r="W32" s="4"/>
      <c r="X32" s="4"/>
      <c r="Y32" s="4"/>
      <c r="Z32" s="4"/>
    </row>
    <row r="33" spans="1:26">
      <c r="A33" s="87" t="s">
        <v>168</v>
      </c>
      <c r="B33" s="89">
        <f>Assumptions!E42</f>
        <v>140454</v>
      </c>
      <c r="C33" s="4"/>
      <c r="D33" s="4"/>
      <c r="E33" s="4"/>
      <c r="F33" s="4"/>
      <c r="G33" s="4"/>
      <c r="H33" s="4"/>
      <c r="I33" s="4"/>
      <c r="J33" s="4"/>
      <c r="K33" s="4"/>
      <c r="L33" s="4"/>
      <c r="M33" s="4"/>
      <c r="N33" s="4"/>
      <c r="O33" s="4"/>
      <c r="P33" s="4"/>
      <c r="Q33" s="4"/>
      <c r="R33" s="4"/>
      <c r="S33" s="4"/>
      <c r="T33" s="4"/>
      <c r="U33" s="4"/>
      <c r="V33" s="4"/>
      <c r="W33" s="4"/>
      <c r="X33" s="4"/>
      <c r="Y33" s="4"/>
      <c r="Z33" s="4"/>
    </row>
    <row r="34" spans="1:26">
      <c r="A34" s="85" t="s">
        <v>169</v>
      </c>
      <c r="B34" s="90">
        <f>SUM(B32:B33)</f>
        <v>2539616.4000000004</v>
      </c>
      <c r="C34" s="4"/>
      <c r="D34" s="4"/>
      <c r="E34" s="4"/>
      <c r="F34" s="4"/>
      <c r="G34" s="4"/>
      <c r="H34" s="4"/>
      <c r="I34" s="4"/>
      <c r="J34" s="4"/>
      <c r="K34" s="4"/>
      <c r="L34" s="4"/>
      <c r="M34" s="4"/>
      <c r="N34" s="4"/>
      <c r="O34" s="4"/>
      <c r="P34" s="4"/>
      <c r="Q34" s="4"/>
      <c r="R34" s="4"/>
      <c r="S34" s="4"/>
      <c r="T34" s="4"/>
      <c r="U34" s="4"/>
      <c r="V34" s="4"/>
      <c r="W34" s="4"/>
      <c r="X34" s="4"/>
      <c r="Y34" s="4"/>
      <c r="Z34" s="4"/>
    </row>
    <row r="35" spans="1:26">
      <c r="A35" s="85" t="s">
        <v>170</v>
      </c>
      <c r="B35" s="88"/>
      <c r="C35" s="4"/>
      <c r="D35" s="4"/>
      <c r="E35" s="4"/>
      <c r="F35" s="4"/>
      <c r="G35" s="4"/>
      <c r="H35" s="4"/>
      <c r="I35" s="4"/>
      <c r="J35" s="4"/>
      <c r="K35" s="4"/>
      <c r="L35" s="4"/>
      <c r="M35" s="4"/>
      <c r="N35" s="4"/>
      <c r="O35" s="4"/>
      <c r="P35" s="4"/>
      <c r="Q35" s="4"/>
      <c r="R35" s="4"/>
      <c r="S35" s="4"/>
      <c r="T35" s="4"/>
      <c r="U35" s="4"/>
      <c r="V35" s="4"/>
      <c r="W35" s="4"/>
      <c r="X35" s="4"/>
      <c r="Y35" s="4"/>
      <c r="Z35" s="4"/>
    </row>
    <row r="36" spans="1:26">
      <c r="A36" s="87" t="s">
        <v>9</v>
      </c>
      <c r="B36" s="88">
        <f>Assumptions!E46</f>
        <v>372147</v>
      </c>
      <c r="C36" s="4"/>
      <c r="D36" s="4"/>
      <c r="E36" s="4"/>
      <c r="F36" s="4"/>
      <c r="G36" s="4"/>
      <c r="H36" s="4"/>
      <c r="I36" s="4"/>
      <c r="J36" s="4"/>
      <c r="K36" s="4"/>
      <c r="L36" s="4"/>
      <c r="M36" s="4"/>
      <c r="N36" s="4"/>
      <c r="O36" s="4"/>
      <c r="P36" s="4"/>
      <c r="Q36" s="4"/>
      <c r="R36" s="4"/>
      <c r="S36" s="4"/>
      <c r="T36" s="4"/>
      <c r="U36" s="4"/>
      <c r="V36" s="4"/>
      <c r="W36" s="4"/>
      <c r="X36" s="4"/>
      <c r="Y36" s="4"/>
      <c r="Z36" s="4"/>
    </row>
    <row r="37" spans="1:26">
      <c r="A37" s="87" t="s">
        <v>171</v>
      </c>
      <c r="B37" s="88">
        <f>Assumptions!E47</f>
        <v>0</v>
      </c>
      <c r="C37" s="4"/>
      <c r="D37" s="4"/>
      <c r="E37" s="4"/>
      <c r="F37" s="4"/>
      <c r="G37" s="4"/>
      <c r="H37" s="4"/>
      <c r="I37" s="4"/>
      <c r="J37" s="4"/>
      <c r="K37" s="4"/>
      <c r="L37" s="4"/>
      <c r="M37" s="4"/>
      <c r="N37" s="4"/>
      <c r="O37" s="4"/>
      <c r="P37" s="4"/>
      <c r="Q37" s="4"/>
      <c r="R37" s="4"/>
      <c r="S37" s="4"/>
      <c r="T37" s="4"/>
      <c r="U37" s="4"/>
      <c r="V37" s="4"/>
      <c r="W37" s="4"/>
      <c r="X37" s="4"/>
      <c r="Y37" s="4"/>
      <c r="Z37" s="4"/>
    </row>
    <row r="38" spans="1:26">
      <c r="A38" s="87" t="s">
        <v>172</v>
      </c>
      <c r="B38" s="88">
        <f>Assumptions!E48</f>
        <v>39535.199999999997</v>
      </c>
      <c r="C38" s="4"/>
      <c r="D38" s="4"/>
      <c r="E38" s="4"/>
      <c r="F38" s="4"/>
      <c r="G38" s="4"/>
      <c r="H38" s="4"/>
      <c r="I38" s="4"/>
      <c r="J38" s="4"/>
      <c r="K38" s="4"/>
      <c r="L38" s="4"/>
      <c r="M38" s="4"/>
      <c r="N38" s="4"/>
      <c r="O38" s="4"/>
      <c r="P38" s="4"/>
      <c r="Q38" s="4"/>
      <c r="R38" s="4"/>
      <c r="S38" s="4"/>
      <c r="T38" s="4"/>
      <c r="U38" s="4"/>
      <c r="V38" s="4"/>
      <c r="W38" s="4"/>
      <c r="X38" s="4"/>
      <c r="Y38" s="4"/>
      <c r="Z38" s="4"/>
    </row>
    <row r="39" spans="1:26">
      <c r="A39" s="87" t="s">
        <v>173</v>
      </c>
      <c r="B39" s="89">
        <f>Assumptions!E49</f>
        <v>319902.19200000004</v>
      </c>
      <c r="C39" s="4"/>
      <c r="D39" s="4"/>
      <c r="E39" s="4"/>
      <c r="F39" s="4"/>
      <c r="G39" s="4"/>
      <c r="H39" s="4"/>
      <c r="I39" s="4"/>
      <c r="J39" s="4"/>
      <c r="K39" s="4"/>
      <c r="L39" s="4"/>
      <c r="M39" s="4"/>
      <c r="N39" s="4"/>
      <c r="O39" s="4"/>
      <c r="P39" s="4"/>
      <c r="Q39" s="4"/>
      <c r="R39" s="4"/>
      <c r="S39" s="4"/>
      <c r="T39" s="4"/>
      <c r="U39" s="4"/>
      <c r="V39" s="4"/>
      <c r="W39" s="4"/>
      <c r="X39" s="4"/>
      <c r="Y39" s="4"/>
      <c r="Z39" s="4"/>
    </row>
    <row r="40" spans="1:26">
      <c r="A40" s="85" t="s">
        <v>174</v>
      </c>
      <c r="B40" s="90">
        <f>SUM(B36:B39)</f>
        <v>731584.39199999999</v>
      </c>
      <c r="C40" s="4"/>
      <c r="D40" s="4"/>
      <c r="E40" s="4"/>
      <c r="F40" s="4"/>
      <c r="G40" s="4"/>
      <c r="H40" s="4"/>
      <c r="I40" s="4"/>
      <c r="J40" s="4"/>
      <c r="K40" s="4"/>
      <c r="L40" s="4"/>
      <c r="M40" s="4"/>
      <c r="N40" s="4"/>
      <c r="O40" s="4"/>
      <c r="P40" s="4"/>
      <c r="Q40" s="4"/>
      <c r="R40" s="4"/>
      <c r="S40" s="4"/>
      <c r="T40" s="4"/>
      <c r="U40" s="4"/>
      <c r="V40" s="4"/>
      <c r="W40" s="4"/>
      <c r="X40" s="4"/>
      <c r="Y40" s="4"/>
      <c r="Z40" s="4"/>
    </row>
    <row r="41" spans="1:26">
      <c r="A41" s="85" t="s">
        <v>175</v>
      </c>
      <c r="B41" s="90"/>
      <c r="C41" s="4"/>
      <c r="D41" s="4"/>
      <c r="E41" s="4"/>
      <c r="F41" s="4"/>
      <c r="G41" s="4"/>
      <c r="H41" s="4"/>
      <c r="I41" s="4"/>
      <c r="J41" s="4"/>
      <c r="K41" s="4"/>
      <c r="L41" s="4"/>
      <c r="M41" s="4"/>
      <c r="N41" s="4"/>
      <c r="O41" s="4"/>
      <c r="P41" s="4"/>
      <c r="Q41" s="4"/>
      <c r="R41" s="4"/>
      <c r="S41" s="4"/>
      <c r="T41" s="4"/>
      <c r="U41" s="4"/>
      <c r="V41" s="4"/>
      <c r="W41" s="4"/>
      <c r="X41" s="4"/>
      <c r="Y41" s="4"/>
      <c r="Z41" s="4"/>
    </row>
    <row r="42" spans="1:26">
      <c r="A42" s="87" t="s">
        <v>176</v>
      </c>
      <c r="B42" s="88">
        <f>Assumptions!E53</f>
        <v>52000</v>
      </c>
      <c r="C42" s="4"/>
      <c r="D42" s="4"/>
      <c r="E42" s="4"/>
      <c r="F42" s="4"/>
      <c r="G42" s="4"/>
      <c r="H42" s="4"/>
      <c r="I42" s="4"/>
      <c r="J42" s="4"/>
      <c r="K42" s="4"/>
      <c r="L42" s="4"/>
      <c r="M42" s="4"/>
      <c r="N42" s="4"/>
      <c r="O42" s="4"/>
      <c r="P42" s="4"/>
      <c r="Q42" s="4"/>
      <c r="R42" s="4"/>
      <c r="S42" s="4"/>
      <c r="T42" s="4"/>
      <c r="U42" s="4"/>
      <c r="V42" s="4"/>
      <c r="W42" s="4"/>
      <c r="X42" s="4"/>
      <c r="Y42" s="4"/>
      <c r="Z42" s="4"/>
    </row>
    <row r="43" spans="1:26">
      <c r="A43" s="87" t="s">
        <v>177</v>
      </c>
      <c r="B43" s="88">
        <f>Assumptions!E54</f>
        <v>31500</v>
      </c>
      <c r="C43" s="4"/>
      <c r="D43" s="4"/>
      <c r="E43" s="4"/>
      <c r="F43" s="4"/>
      <c r="G43" s="4"/>
      <c r="H43" s="4"/>
      <c r="I43" s="4"/>
      <c r="J43" s="4"/>
      <c r="K43" s="4"/>
      <c r="L43" s="4"/>
      <c r="M43" s="4"/>
      <c r="N43" s="4"/>
      <c r="O43" s="4"/>
      <c r="P43" s="4"/>
      <c r="Q43" s="4"/>
      <c r="R43" s="4"/>
      <c r="S43" s="4"/>
      <c r="T43" s="4"/>
      <c r="U43" s="4"/>
      <c r="V43" s="4"/>
      <c r="W43" s="4"/>
      <c r="X43" s="4"/>
      <c r="Y43" s="4"/>
      <c r="Z43" s="4"/>
    </row>
    <row r="44" spans="1:26">
      <c r="A44" s="87" t="s">
        <v>178</v>
      </c>
      <c r="B44" s="89">
        <f>Assumptions!E55*Assumptions!E57*Assumptions!E56</f>
        <v>49500</v>
      </c>
      <c r="C44" s="4"/>
      <c r="D44" s="4"/>
      <c r="E44" s="4"/>
      <c r="F44" s="4"/>
      <c r="G44" s="4"/>
      <c r="H44" s="4"/>
      <c r="I44" s="4"/>
      <c r="J44" s="4"/>
      <c r="K44" s="4"/>
      <c r="L44" s="4"/>
      <c r="M44" s="4"/>
      <c r="N44" s="4"/>
      <c r="O44" s="4"/>
      <c r="P44" s="4"/>
      <c r="Q44" s="4"/>
      <c r="R44" s="4"/>
      <c r="S44" s="4"/>
      <c r="T44" s="4"/>
      <c r="U44" s="4"/>
      <c r="V44" s="4"/>
      <c r="W44" s="4"/>
      <c r="X44" s="4"/>
      <c r="Y44" s="4"/>
      <c r="Z44" s="4"/>
    </row>
    <row r="45" spans="1:26">
      <c r="A45" s="85" t="s">
        <v>179</v>
      </c>
      <c r="B45" s="90">
        <f>SUM(B42:B44)</f>
        <v>133000</v>
      </c>
      <c r="C45" s="4"/>
      <c r="D45" s="4"/>
      <c r="E45" s="4"/>
      <c r="F45" s="4"/>
      <c r="G45" s="4"/>
      <c r="H45" s="4"/>
      <c r="I45" s="4"/>
      <c r="J45" s="4"/>
      <c r="K45" s="4"/>
      <c r="L45" s="4"/>
      <c r="M45" s="4"/>
      <c r="N45" s="4"/>
      <c r="O45" s="4"/>
      <c r="P45" s="4"/>
      <c r="Q45" s="4"/>
      <c r="R45" s="4"/>
      <c r="S45" s="4"/>
      <c r="T45" s="4"/>
      <c r="U45" s="4"/>
      <c r="V45" s="4"/>
      <c r="W45" s="96">
        <f>(Assumptions!E55*Assumptions!E56*Assumptions!E57+Assumptions!E54+Assumptions!E53+Assumptions!E49+Assumptions!E48+Assumptions!E47+Assumptions!E46+Assumptions!E42+Assumptions!E41)-'Year 1'!$B$45-'Year 1'!$B$40-'Year 1'!$B$34</f>
        <v>1774440.7920000004</v>
      </c>
      <c r="X45" s="4"/>
      <c r="Y45" s="4"/>
      <c r="Z45" s="4"/>
    </row>
    <row r="46" spans="1:26">
      <c r="A46" s="85" t="s">
        <v>180</v>
      </c>
      <c r="B46" s="88"/>
      <c r="C46" s="4"/>
      <c r="D46" s="4"/>
      <c r="E46" s="4"/>
      <c r="F46" s="4"/>
      <c r="G46" s="4"/>
      <c r="H46" s="4"/>
      <c r="I46" s="4"/>
      <c r="J46" s="4"/>
      <c r="K46" s="4"/>
      <c r="L46" s="4"/>
      <c r="M46" s="4"/>
      <c r="N46" s="4"/>
      <c r="O46" s="4"/>
      <c r="P46" s="4"/>
      <c r="Q46" s="4"/>
      <c r="R46" s="4"/>
      <c r="S46" s="4"/>
      <c r="T46" s="4"/>
      <c r="U46" s="4"/>
      <c r="V46" s="4"/>
      <c r="W46" s="4"/>
      <c r="X46" s="4"/>
      <c r="Y46" s="4"/>
      <c r="Z46" s="4"/>
    </row>
    <row r="47" spans="1:26">
      <c r="A47" s="87" t="s">
        <v>181</v>
      </c>
      <c r="B47" s="88">
        <f>ROUND((B34+B40+B45)*Assumptions!E60,0)</f>
        <v>685946</v>
      </c>
      <c r="C47" s="4"/>
      <c r="D47" s="4"/>
      <c r="E47" s="4"/>
      <c r="F47" s="4"/>
      <c r="G47" s="4"/>
      <c r="H47" s="4"/>
      <c r="I47" s="4"/>
      <c r="J47" s="4"/>
      <c r="K47" s="4"/>
      <c r="L47" s="4"/>
      <c r="M47" s="4"/>
      <c r="N47" s="4"/>
      <c r="O47" s="4"/>
      <c r="P47" s="4"/>
      <c r="Q47" s="4"/>
      <c r="R47" s="4"/>
      <c r="S47" s="4"/>
      <c r="T47" s="4"/>
      <c r="U47" s="4"/>
      <c r="V47" s="4"/>
      <c r="W47" s="4"/>
      <c r="X47" s="4"/>
      <c r="Y47" s="4"/>
      <c r="Z47" s="4"/>
    </row>
    <row r="48" spans="1:26">
      <c r="A48" s="87" t="s">
        <v>182</v>
      </c>
      <c r="B48" s="88">
        <f>ROUND((B34+B40+B45)*Assumptions!E61,0)</f>
        <v>49361</v>
      </c>
      <c r="C48" s="4"/>
      <c r="D48" s="4"/>
      <c r="E48" s="4"/>
      <c r="F48" s="4"/>
      <c r="G48" s="4"/>
      <c r="H48" s="4"/>
      <c r="I48" s="4"/>
      <c r="J48" s="4"/>
      <c r="K48" s="4"/>
      <c r="L48" s="4"/>
      <c r="M48" s="4"/>
      <c r="N48" s="4"/>
      <c r="O48" s="4"/>
      <c r="P48" s="4"/>
      <c r="Q48" s="4"/>
      <c r="R48" s="4"/>
      <c r="S48" s="4"/>
      <c r="T48" s="4"/>
      <c r="U48" s="4"/>
      <c r="V48" s="4"/>
      <c r="W48" s="4"/>
      <c r="X48" s="4"/>
      <c r="Y48" s="4"/>
      <c r="Z48" s="4"/>
    </row>
    <row r="49" spans="1:26">
      <c r="A49" s="87" t="s">
        <v>183</v>
      </c>
      <c r="B49" s="88">
        <f>ROUND((Assumptions!$E$43+Assumptions!$E$50)*Assumptions!E62,0)</f>
        <v>318200</v>
      </c>
      <c r="C49" s="4"/>
      <c r="D49" s="4"/>
      <c r="E49" s="4"/>
      <c r="F49" s="4"/>
      <c r="G49" s="4"/>
      <c r="H49" s="4"/>
      <c r="I49" s="4"/>
      <c r="J49" s="4"/>
      <c r="K49" s="4"/>
      <c r="L49" s="4"/>
      <c r="M49" s="4"/>
      <c r="N49" s="4"/>
      <c r="O49" s="4"/>
      <c r="P49" s="4"/>
      <c r="Q49" s="4"/>
      <c r="R49" s="4"/>
      <c r="S49" s="4"/>
      <c r="T49" s="4"/>
      <c r="U49" s="4"/>
      <c r="V49" s="4"/>
      <c r="W49" s="4"/>
      <c r="X49" s="4"/>
      <c r="Y49" s="4"/>
      <c r="Z49" s="4"/>
    </row>
    <row r="50" spans="1:26">
      <c r="A50" s="87" t="s">
        <v>184</v>
      </c>
      <c r="B50" s="88">
        <f>ROUND((Assumptions!$E$43+Assumptions!$E$50)*Assumptions!E63,0)</f>
        <v>19350</v>
      </c>
      <c r="C50" s="4"/>
      <c r="D50" s="4"/>
      <c r="E50" s="4"/>
      <c r="F50" s="4"/>
      <c r="G50" s="4"/>
      <c r="H50" s="4"/>
      <c r="I50" s="4"/>
      <c r="J50" s="4"/>
      <c r="K50" s="4"/>
      <c r="L50" s="4"/>
      <c r="M50" s="4"/>
      <c r="N50" s="4"/>
      <c r="O50" s="4"/>
      <c r="P50" s="4"/>
      <c r="Q50" s="4"/>
      <c r="R50" s="4"/>
      <c r="S50" s="4"/>
      <c r="T50" s="4"/>
      <c r="U50" s="4"/>
      <c r="V50" s="4"/>
      <c r="W50" s="4"/>
      <c r="X50" s="4"/>
      <c r="Y50" s="4"/>
      <c r="Z50" s="4"/>
    </row>
    <row r="51" spans="1:26">
      <c r="A51" s="87" t="s">
        <v>185</v>
      </c>
      <c r="B51" s="88">
        <f>ROUND((Assumptions!$E$43+Assumptions!$E$50)*Assumptions!E64,0)</f>
        <v>0</v>
      </c>
      <c r="C51" s="4"/>
      <c r="D51" s="4"/>
      <c r="E51" s="4"/>
      <c r="F51" s="4"/>
      <c r="G51" s="4"/>
      <c r="H51" s="4"/>
      <c r="I51" s="4"/>
      <c r="J51" s="4"/>
      <c r="K51" s="4"/>
      <c r="L51" s="4"/>
      <c r="M51" s="4"/>
      <c r="N51" s="4"/>
      <c r="O51" s="4"/>
      <c r="P51" s="4"/>
      <c r="Q51" s="4"/>
      <c r="R51" s="4"/>
      <c r="S51" s="4"/>
      <c r="T51" s="4"/>
      <c r="U51" s="4"/>
      <c r="V51" s="4"/>
      <c r="W51" s="4"/>
      <c r="X51" s="4"/>
      <c r="Y51" s="4"/>
      <c r="Z51" s="4"/>
    </row>
    <row r="52" spans="1:26">
      <c r="A52" s="65" t="s">
        <v>186</v>
      </c>
      <c r="B52" s="88">
        <f>ROUND((Assumptions!$E$43+Assumptions!$E$50)*Assumptions!E65,0)</f>
        <v>4300</v>
      </c>
      <c r="C52" s="4"/>
      <c r="D52" s="4"/>
      <c r="E52" s="4"/>
      <c r="F52" s="4"/>
      <c r="G52" s="4"/>
      <c r="H52" s="4"/>
      <c r="I52" s="4"/>
      <c r="J52" s="4"/>
      <c r="K52" s="4"/>
      <c r="L52" s="4"/>
      <c r="M52" s="4"/>
      <c r="N52" s="4"/>
      <c r="O52" s="4"/>
      <c r="P52" s="4"/>
      <c r="Q52" s="4"/>
      <c r="R52" s="4"/>
      <c r="S52" s="4"/>
      <c r="T52" s="4"/>
      <c r="U52" s="4"/>
      <c r="V52" s="4"/>
      <c r="W52" s="4"/>
      <c r="X52" s="4"/>
      <c r="Y52" s="4"/>
      <c r="Z52" s="4"/>
    </row>
    <row r="53" spans="1:26">
      <c r="A53" s="87" t="s">
        <v>33</v>
      </c>
      <c r="B53" s="89">
        <f>ROUND((Assumptions!$E$43+Assumptions!$E$50)*Assumptions!E66,0)</f>
        <v>0</v>
      </c>
      <c r="C53" s="4"/>
      <c r="D53" s="4"/>
      <c r="E53" s="4"/>
      <c r="F53" s="4"/>
      <c r="G53" s="4"/>
      <c r="H53" s="4"/>
      <c r="I53" s="4"/>
      <c r="J53" s="4"/>
      <c r="K53" s="4"/>
      <c r="L53" s="4"/>
      <c r="M53" s="4"/>
      <c r="N53" s="4"/>
      <c r="O53" s="4"/>
      <c r="P53" s="4"/>
      <c r="Q53" s="4"/>
      <c r="R53" s="4"/>
      <c r="S53" s="4"/>
      <c r="T53" s="4"/>
      <c r="U53" s="4"/>
      <c r="V53" s="4"/>
      <c r="W53" s="4"/>
      <c r="X53" s="4"/>
      <c r="Y53" s="4"/>
      <c r="Z53" s="4"/>
    </row>
    <row r="54" spans="1:26">
      <c r="A54" s="85" t="s">
        <v>266</v>
      </c>
      <c r="B54" s="98">
        <f>SUM(B47:B53)</f>
        <v>1077157</v>
      </c>
      <c r="C54" s="4"/>
      <c r="D54" s="4"/>
      <c r="E54" s="4"/>
      <c r="F54" s="4"/>
      <c r="G54" s="4"/>
      <c r="H54" s="4"/>
      <c r="I54" s="4"/>
      <c r="J54" s="4"/>
      <c r="K54" s="4"/>
      <c r="L54" s="4"/>
      <c r="M54" s="4"/>
      <c r="N54" s="4"/>
      <c r="O54" s="4"/>
      <c r="P54" s="4"/>
      <c r="Q54" s="4"/>
      <c r="R54" s="4"/>
      <c r="S54" s="4"/>
      <c r="T54" s="4"/>
      <c r="U54" s="4"/>
      <c r="V54" s="4"/>
      <c r="W54" s="4"/>
      <c r="X54" s="4"/>
      <c r="Y54" s="4"/>
      <c r="Z54" s="4"/>
    </row>
    <row r="55" spans="1:26">
      <c r="A55" s="85" t="s">
        <v>188</v>
      </c>
      <c r="B55" s="90">
        <f>B34+B40+B54+B45</f>
        <v>4481357.7920000004</v>
      </c>
      <c r="C55" s="4"/>
      <c r="D55" s="4"/>
      <c r="E55" s="4"/>
      <c r="F55" s="4"/>
      <c r="G55" s="4"/>
      <c r="H55" s="4"/>
      <c r="I55" s="4"/>
      <c r="J55" s="4"/>
      <c r="K55" s="4"/>
      <c r="L55" s="4"/>
      <c r="M55" s="4"/>
      <c r="N55" s="4"/>
      <c r="O55" s="4"/>
      <c r="P55" s="4"/>
      <c r="Q55" s="4"/>
      <c r="R55" s="4"/>
      <c r="S55" s="4"/>
      <c r="T55" s="4"/>
      <c r="U55" s="4"/>
      <c r="V55" s="4"/>
      <c r="W55" s="4"/>
      <c r="X55" s="4"/>
      <c r="Y55" s="4"/>
      <c r="Z55" s="4"/>
    </row>
    <row r="56" spans="1:26">
      <c r="A56" s="85"/>
      <c r="B56" s="90"/>
      <c r="C56" s="4"/>
      <c r="D56" s="4"/>
      <c r="E56" s="4"/>
      <c r="F56" s="4"/>
      <c r="G56" s="4"/>
      <c r="H56" s="4"/>
      <c r="I56" s="4"/>
      <c r="J56" s="4"/>
      <c r="K56" s="4"/>
      <c r="L56" s="4"/>
      <c r="M56" s="4"/>
      <c r="N56" s="4"/>
      <c r="O56" s="4"/>
      <c r="P56" s="4"/>
      <c r="Q56" s="4"/>
      <c r="R56" s="4"/>
      <c r="S56" s="4"/>
      <c r="T56" s="4"/>
      <c r="U56" s="4"/>
      <c r="V56" s="4"/>
      <c r="W56" s="4"/>
      <c r="X56" s="4"/>
      <c r="Y56" s="4"/>
      <c r="Z56" s="4"/>
    </row>
    <row r="57" spans="1:26">
      <c r="A57" s="85" t="s">
        <v>189</v>
      </c>
      <c r="B57" s="88"/>
      <c r="C57" s="4"/>
      <c r="D57" s="4"/>
      <c r="E57" s="4"/>
      <c r="F57" s="4"/>
      <c r="G57" s="4"/>
      <c r="H57" s="4"/>
      <c r="I57" s="4"/>
      <c r="J57" s="4"/>
      <c r="K57" s="4"/>
      <c r="L57" s="4"/>
      <c r="M57" s="4"/>
      <c r="N57" s="4"/>
      <c r="O57" s="4"/>
      <c r="P57" s="4"/>
      <c r="Q57" s="4"/>
      <c r="R57" s="4"/>
      <c r="S57" s="4"/>
      <c r="T57" s="4"/>
      <c r="U57" s="4"/>
      <c r="V57" s="4"/>
      <c r="W57" s="4"/>
      <c r="X57" s="4"/>
      <c r="Y57" s="4"/>
      <c r="Z57" s="4"/>
    </row>
    <row r="58" spans="1:26">
      <c r="A58" s="87" t="s">
        <v>58</v>
      </c>
      <c r="B58" s="88">
        <f>Assumptions!E69</f>
        <v>41186.1</v>
      </c>
      <c r="C58" s="4"/>
      <c r="D58" s="4"/>
      <c r="E58" s="4"/>
      <c r="F58" s="4"/>
      <c r="G58" s="4"/>
      <c r="H58" s="4"/>
      <c r="I58" s="4"/>
      <c r="J58" s="4"/>
      <c r="K58" s="4"/>
      <c r="L58" s="4"/>
      <c r="M58" s="4"/>
      <c r="N58" s="4"/>
      <c r="O58" s="4"/>
      <c r="P58" s="4"/>
      <c r="Q58" s="4"/>
      <c r="R58" s="4"/>
      <c r="S58" s="4"/>
      <c r="T58" s="4"/>
      <c r="U58" s="4"/>
      <c r="V58" s="4"/>
      <c r="W58" s="4"/>
      <c r="X58" s="4"/>
      <c r="Y58" s="4"/>
      <c r="Z58" s="4"/>
    </row>
    <row r="59" spans="1:26">
      <c r="A59" s="87" t="s">
        <v>59</v>
      </c>
      <c r="B59" s="88">
        <f>Assumptions!E70</f>
        <v>3524.25</v>
      </c>
      <c r="C59" s="4"/>
      <c r="D59" s="4"/>
      <c r="E59" s="4"/>
      <c r="F59" s="4"/>
      <c r="G59" s="4"/>
      <c r="H59" s="4"/>
      <c r="I59" s="4"/>
      <c r="J59" s="4"/>
      <c r="K59" s="4"/>
      <c r="L59" s="4"/>
      <c r="M59" s="4"/>
      <c r="N59" s="4"/>
      <c r="O59" s="4"/>
      <c r="P59" s="4"/>
      <c r="Q59" s="4"/>
      <c r="R59" s="4"/>
      <c r="S59" s="4"/>
      <c r="T59" s="4"/>
      <c r="U59" s="4"/>
      <c r="V59" s="4"/>
      <c r="W59" s="4"/>
      <c r="X59" s="4"/>
      <c r="Y59" s="4"/>
      <c r="Z59" s="4"/>
    </row>
    <row r="60" spans="1:26">
      <c r="A60" s="87" t="s">
        <v>190</v>
      </c>
      <c r="B60" s="88">
        <f>Assumptions!E71</f>
        <v>8515.35</v>
      </c>
      <c r="C60" s="4"/>
      <c r="D60" s="4"/>
      <c r="E60" s="4"/>
      <c r="F60" s="4"/>
      <c r="G60" s="4"/>
      <c r="H60" s="4"/>
      <c r="I60" s="4"/>
      <c r="J60" s="4"/>
      <c r="K60" s="4"/>
      <c r="L60" s="4"/>
      <c r="M60" s="4"/>
      <c r="N60" s="4"/>
      <c r="O60" s="4"/>
      <c r="P60" s="4"/>
      <c r="Q60" s="4"/>
      <c r="R60" s="4"/>
      <c r="S60" s="4"/>
      <c r="T60" s="4"/>
      <c r="U60" s="4"/>
      <c r="V60" s="4"/>
      <c r="W60" s="4"/>
      <c r="X60" s="4"/>
      <c r="Y60" s="4"/>
      <c r="Z60" s="4"/>
    </row>
    <row r="61" spans="1:26">
      <c r="A61" s="87" t="s">
        <v>191</v>
      </c>
      <c r="B61" s="88">
        <f>Assumptions!E72</f>
        <v>13811.25</v>
      </c>
      <c r="C61" s="4"/>
      <c r="D61" s="4"/>
      <c r="E61" s="4"/>
      <c r="F61" s="4"/>
      <c r="G61" s="4"/>
      <c r="H61" s="4"/>
      <c r="I61" s="4"/>
      <c r="J61" s="4"/>
      <c r="K61" s="4"/>
      <c r="L61" s="4"/>
      <c r="M61" s="4"/>
      <c r="N61" s="4"/>
      <c r="O61" s="4"/>
      <c r="P61" s="4"/>
      <c r="Q61" s="4"/>
      <c r="R61" s="4"/>
      <c r="S61" s="4"/>
      <c r="T61" s="4"/>
      <c r="U61" s="4"/>
      <c r="V61" s="4"/>
      <c r="W61" s="4"/>
      <c r="X61" s="4"/>
      <c r="Y61" s="4"/>
      <c r="Z61" s="4"/>
    </row>
    <row r="62" spans="1:26">
      <c r="A62" s="87" t="s">
        <v>62</v>
      </c>
      <c r="B62" s="88">
        <f>Assumptions!E73</f>
        <v>7372.35</v>
      </c>
      <c r="C62" s="4"/>
      <c r="D62" s="4"/>
      <c r="E62" s="4"/>
      <c r="F62" s="4"/>
      <c r="G62" s="4"/>
      <c r="H62" s="4"/>
      <c r="I62" s="4"/>
      <c r="J62" s="4"/>
      <c r="K62" s="4"/>
      <c r="L62" s="4"/>
      <c r="M62" s="4"/>
      <c r="N62" s="4"/>
      <c r="O62" s="4"/>
      <c r="P62" s="4"/>
      <c r="Q62" s="4"/>
      <c r="R62" s="4"/>
      <c r="S62" s="4"/>
      <c r="T62" s="4"/>
      <c r="U62" s="4"/>
      <c r="V62" s="4"/>
      <c r="W62" s="4"/>
      <c r="X62" s="4"/>
      <c r="Y62" s="4"/>
      <c r="Z62" s="4"/>
    </row>
    <row r="63" spans="1:26">
      <c r="A63" s="87" t="s">
        <v>63</v>
      </c>
      <c r="B63" s="88">
        <f>Assumptions!E74</f>
        <v>517.82749999999999</v>
      </c>
      <c r="C63" s="4"/>
      <c r="D63" s="4"/>
      <c r="E63" s="4"/>
      <c r="F63" s="4"/>
      <c r="G63" s="4"/>
      <c r="H63" s="4"/>
      <c r="I63" s="4"/>
      <c r="J63" s="4"/>
      <c r="K63" s="4"/>
      <c r="L63" s="4"/>
      <c r="M63" s="4"/>
      <c r="N63" s="4"/>
      <c r="O63" s="4"/>
      <c r="P63" s="4"/>
      <c r="Q63" s="4"/>
      <c r="R63" s="4"/>
      <c r="S63" s="4"/>
      <c r="T63" s="4"/>
      <c r="U63" s="4"/>
      <c r="V63" s="4"/>
      <c r="W63" s="4"/>
      <c r="X63" s="4"/>
      <c r="Y63" s="4"/>
      <c r="Z63" s="4"/>
    </row>
    <row r="64" spans="1:26">
      <c r="A64" s="87" t="s">
        <v>65</v>
      </c>
      <c r="B64" s="88">
        <f>Assumptions!E75</f>
        <v>0</v>
      </c>
      <c r="C64" s="4"/>
      <c r="D64" s="4"/>
      <c r="E64" s="4"/>
      <c r="F64" s="4"/>
      <c r="G64" s="4"/>
      <c r="H64" s="4"/>
      <c r="I64" s="4"/>
      <c r="J64" s="4"/>
      <c r="K64" s="4"/>
      <c r="L64" s="4"/>
      <c r="M64" s="4"/>
      <c r="N64" s="4"/>
      <c r="O64" s="4"/>
      <c r="P64" s="4"/>
      <c r="Q64" s="4"/>
      <c r="R64" s="4"/>
      <c r="S64" s="4"/>
      <c r="T64" s="4"/>
      <c r="U64" s="4"/>
      <c r="V64" s="4"/>
      <c r="W64" s="4"/>
      <c r="X64" s="4"/>
      <c r="Y64" s="4"/>
      <c r="Z64" s="4"/>
    </row>
    <row r="65" spans="1:26">
      <c r="A65" s="87" t="s">
        <v>192</v>
      </c>
      <c r="B65" s="88">
        <f>Assumptions!E76</f>
        <v>0</v>
      </c>
      <c r="C65" s="4"/>
      <c r="D65" s="4"/>
      <c r="E65" s="4"/>
      <c r="F65" s="4"/>
      <c r="G65" s="4"/>
      <c r="H65" s="4"/>
      <c r="I65" s="4"/>
      <c r="J65" s="4"/>
      <c r="K65" s="4"/>
      <c r="L65" s="4"/>
      <c r="M65" s="4"/>
      <c r="N65" s="4"/>
      <c r="O65" s="4"/>
      <c r="P65" s="4"/>
      <c r="Q65" s="4"/>
      <c r="R65" s="4"/>
      <c r="S65" s="4"/>
      <c r="T65" s="4"/>
      <c r="U65" s="4"/>
      <c r="V65" s="4"/>
      <c r="W65" s="4"/>
      <c r="X65" s="4"/>
      <c r="Y65" s="4"/>
      <c r="Z65" s="4"/>
    </row>
    <row r="66" spans="1:26">
      <c r="A66" s="87" t="s">
        <v>49</v>
      </c>
      <c r="B66" s="89">
        <f>Assumptions!E77</f>
        <v>285750</v>
      </c>
      <c r="C66" s="4"/>
      <c r="D66" s="4"/>
      <c r="E66" s="4"/>
      <c r="F66" s="4"/>
      <c r="G66" s="4"/>
      <c r="H66" s="4"/>
      <c r="I66" s="4"/>
      <c r="J66" s="4"/>
      <c r="K66" s="4"/>
      <c r="L66" s="4"/>
      <c r="M66" s="4"/>
      <c r="N66" s="4"/>
      <c r="O66" s="4"/>
      <c r="P66" s="4"/>
      <c r="Q66" s="4"/>
      <c r="R66" s="4"/>
      <c r="S66" s="4"/>
      <c r="T66" s="4"/>
      <c r="U66" s="4"/>
      <c r="V66" s="4"/>
      <c r="W66" s="4"/>
      <c r="X66" s="4"/>
      <c r="Y66" s="4"/>
      <c r="Z66" s="4"/>
    </row>
    <row r="67" spans="1:26">
      <c r="A67" s="85" t="s">
        <v>193</v>
      </c>
      <c r="B67" s="90">
        <f>SUM(B58:B66)</f>
        <v>360677.1275</v>
      </c>
      <c r="C67" s="4"/>
      <c r="D67" s="4"/>
      <c r="E67" s="4"/>
      <c r="F67" s="4"/>
      <c r="G67" s="4"/>
      <c r="H67" s="4"/>
      <c r="I67" s="4"/>
      <c r="J67" s="4"/>
      <c r="K67" s="4"/>
      <c r="L67" s="4"/>
      <c r="M67" s="4"/>
      <c r="N67" s="4"/>
      <c r="O67" s="4"/>
      <c r="P67" s="4"/>
      <c r="Q67" s="4"/>
      <c r="R67" s="4"/>
      <c r="S67" s="4"/>
      <c r="T67" s="4"/>
      <c r="U67" s="4"/>
      <c r="V67" s="4"/>
      <c r="W67" s="4"/>
      <c r="X67" s="4"/>
      <c r="Y67" s="4"/>
      <c r="Z67" s="4"/>
    </row>
    <row r="68" spans="1:26">
      <c r="A68" s="85"/>
      <c r="B68" s="90"/>
      <c r="C68" s="4"/>
      <c r="D68" s="4"/>
      <c r="E68" s="4"/>
      <c r="F68" s="4"/>
      <c r="G68" s="4"/>
      <c r="H68" s="4"/>
      <c r="I68" s="4"/>
      <c r="J68" s="4"/>
      <c r="K68" s="4"/>
      <c r="L68" s="4"/>
      <c r="M68" s="4"/>
      <c r="N68" s="4"/>
      <c r="O68" s="4"/>
      <c r="P68" s="4"/>
      <c r="Q68" s="4"/>
      <c r="R68" s="4"/>
      <c r="S68" s="4"/>
      <c r="T68" s="4"/>
      <c r="U68" s="4"/>
      <c r="V68" s="4"/>
      <c r="W68" s="4"/>
      <c r="X68" s="4"/>
      <c r="Y68" s="4"/>
      <c r="Z68" s="4"/>
    </row>
    <row r="69" spans="1:26">
      <c r="A69" s="85" t="s">
        <v>194</v>
      </c>
      <c r="B69" s="88"/>
      <c r="C69" s="4"/>
      <c r="D69" s="4"/>
      <c r="E69" s="4"/>
      <c r="F69" s="4"/>
      <c r="G69" s="4"/>
      <c r="H69" s="4"/>
      <c r="I69" s="4"/>
      <c r="J69" s="4"/>
      <c r="K69" s="4"/>
      <c r="L69" s="4"/>
      <c r="M69" s="4"/>
      <c r="N69" s="4"/>
      <c r="O69" s="4"/>
      <c r="P69" s="4"/>
      <c r="Q69" s="4"/>
      <c r="R69" s="4"/>
      <c r="S69" s="4"/>
      <c r="T69" s="4"/>
      <c r="U69" s="4"/>
      <c r="V69" s="4"/>
      <c r="W69" s="4"/>
      <c r="X69" s="4"/>
      <c r="Y69" s="4"/>
      <c r="Z69" s="4"/>
    </row>
    <row r="70" spans="1:26">
      <c r="A70" s="87" t="s">
        <v>70</v>
      </c>
      <c r="B70" s="88">
        <f>Assumptions!E80</f>
        <v>20000</v>
      </c>
      <c r="C70" s="4"/>
      <c r="D70" s="4"/>
      <c r="E70" s="4"/>
      <c r="F70" s="4"/>
      <c r="G70" s="4"/>
      <c r="H70" s="4"/>
      <c r="I70" s="4"/>
      <c r="J70" s="4"/>
      <c r="K70" s="4"/>
      <c r="L70" s="4"/>
      <c r="M70" s="4"/>
      <c r="N70" s="4"/>
      <c r="O70" s="4"/>
      <c r="P70" s="4"/>
      <c r="Q70" s="4"/>
      <c r="R70" s="4"/>
      <c r="S70" s="4"/>
      <c r="T70" s="4"/>
      <c r="U70" s="4"/>
      <c r="V70" s="4"/>
      <c r="W70" s="4"/>
      <c r="X70" s="4"/>
      <c r="Y70" s="4"/>
      <c r="Z70" s="4"/>
    </row>
    <row r="71" spans="1:26">
      <c r="A71" s="87" t="s">
        <v>72</v>
      </c>
      <c r="B71" s="88">
        <f>Assumptions!E81</f>
        <v>2160</v>
      </c>
      <c r="C71" s="4"/>
      <c r="D71" s="4"/>
      <c r="E71" s="4"/>
      <c r="F71" s="4"/>
      <c r="G71" s="4"/>
      <c r="H71" s="4"/>
      <c r="I71" s="4"/>
      <c r="J71" s="4"/>
      <c r="K71" s="4"/>
      <c r="L71" s="4"/>
      <c r="M71" s="4"/>
      <c r="N71" s="4"/>
      <c r="O71" s="4"/>
      <c r="P71" s="4"/>
      <c r="Q71" s="4"/>
      <c r="R71" s="4"/>
      <c r="S71" s="4"/>
      <c r="T71" s="4"/>
      <c r="U71" s="4"/>
      <c r="V71" s="4"/>
      <c r="W71" s="4"/>
      <c r="X71" s="4"/>
      <c r="Y71" s="4"/>
      <c r="Z71" s="4"/>
    </row>
    <row r="72" spans="1:26">
      <c r="A72" s="87" t="s">
        <v>73</v>
      </c>
      <c r="B72" s="88">
        <f>Assumptions!E82</f>
        <v>3000</v>
      </c>
      <c r="C72" s="4"/>
      <c r="D72" s="4"/>
      <c r="E72" s="4"/>
      <c r="F72" s="4"/>
      <c r="G72" s="4"/>
      <c r="H72" s="4"/>
      <c r="I72" s="4"/>
      <c r="J72" s="4"/>
      <c r="K72" s="4"/>
      <c r="L72" s="4"/>
      <c r="M72" s="4"/>
      <c r="N72" s="4"/>
      <c r="O72" s="4"/>
      <c r="P72" s="4"/>
      <c r="Q72" s="4"/>
      <c r="R72" s="4"/>
      <c r="S72" s="4"/>
      <c r="T72" s="4"/>
      <c r="U72" s="4"/>
      <c r="V72" s="4"/>
      <c r="W72" s="4"/>
      <c r="X72" s="4"/>
      <c r="Y72" s="4"/>
      <c r="Z72" s="4"/>
    </row>
    <row r="73" spans="1:26">
      <c r="A73" s="87" t="s">
        <v>75</v>
      </c>
      <c r="B73" s="88">
        <f>Assumptions!E83</f>
        <v>12000</v>
      </c>
      <c r="C73" s="4"/>
      <c r="D73" s="4"/>
      <c r="E73" s="4"/>
      <c r="F73" s="4"/>
      <c r="G73" s="4"/>
      <c r="H73" s="4"/>
      <c r="I73" s="4"/>
      <c r="J73" s="4"/>
      <c r="K73" s="4"/>
      <c r="L73" s="4"/>
      <c r="M73" s="4"/>
      <c r="N73" s="4"/>
      <c r="O73" s="4"/>
      <c r="P73" s="4"/>
      <c r="Q73" s="4"/>
      <c r="R73" s="4"/>
      <c r="S73" s="4"/>
      <c r="T73" s="4"/>
      <c r="U73" s="4"/>
      <c r="V73" s="4"/>
      <c r="W73" s="4"/>
      <c r="X73" s="4"/>
      <c r="Y73" s="4"/>
      <c r="Z73" s="4"/>
    </row>
    <row r="74" spans="1:26">
      <c r="A74" s="87" t="s">
        <v>76</v>
      </c>
      <c r="B74" s="89">
        <f>Assumptions!E84</f>
        <v>0</v>
      </c>
      <c r="C74" s="4"/>
      <c r="D74" s="4"/>
      <c r="E74" s="4"/>
      <c r="F74" s="4"/>
      <c r="G74" s="4"/>
      <c r="H74" s="4"/>
      <c r="I74" s="4"/>
      <c r="J74" s="4"/>
      <c r="K74" s="4"/>
      <c r="L74" s="4"/>
      <c r="M74" s="4"/>
      <c r="N74" s="4"/>
      <c r="O74" s="4"/>
      <c r="P74" s="4"/>
      <c r="Q74" s="4"/>
      <c r="R74" s="4"/>
      <c r="S74" s="4"/>
      <c r="T74" s="4"/>
      <c r="U74" s="4"/>
      <c r="V74" s="4"/>
      <c r="W74" s="4"/>
      <c r="X74" s="4"/>
      <c r="Y74" s="4"/>
      <c r="Z74" s="4"/>
    </row>
    <row r="75" spans="1:26">
      <c r="A75" s="85" t="s">
        <v>195</v>
      </c>
      <c r="B75" s="90">
        <f>SUM(B70:B74)</f>
        <v>37160</v>
      </c>
      <c r="C75" s="4"/>
      <c r="D75" s="4"/>
      <c r="E75" s="4"/>
      <c r="F75" s="4"/>
      <c r="G75" s="4"/>
      <c r="H75" s="4"/>
      <c r="I75" s="4"/>
      <c r="J75" s="4"/>
      <c r="K75" s="4"/>
      <c r="L75" s="4"/>
      <c r="M75" s="4"/>
      <c r="N75" s="4"/>
      <c r="O75" s="4"/>
      <c r="P75" s="4"/>
      <c r="Q75" s="4"/>
      <c r="R75" s="4"/>
      <c r="S75" s="4"/>
      <c r="T75" s="4"/>
      <c r="U75" s="4"/>
      <c r="V75" s="4"/>
      <c r="W75" s="4"/>
      <c r="X75" s="4"/>
      <c r="Y75" s="4"/>
      <c r="Z75" s="4"/>
    </row>
    <row r="76" spans="1:26">
      <c r="A76" s="85"/>
      <c r="B76" s="90"/>
      <c r="C76" s="4"/>
      <c r="D76" s="4"/>
      <c r="E76" s="4"/>
      <c r="F76" s="4"/>
      <c r="G76" s="4"/>
      <c r="H76" s="4"/>
      <c r="I76" s="4"/>
      <c r="J76" s="4"/>
      <c r="K76" s="4"/>
      <c r="L76" s="4"/>
      <c r="M76" s="4"/>
      <c r="N76" s="4"/>
      <c r="O76" s="4"/>
      <c r="P76" s="4"/>
      <c r="Q76" s="4"/>
      <c r="R76" s="4"/>
      <c r="S76" s="4"/>
      <c r="T76" s="4"/>
      <c r="U76" s="4"/>
      <c r="V76" s="4"/>
      <c r="W76" s="4"/>
      <c r="X76" s="4"/>
      <c r="Y76" s="4"/>
      <c r="Z76" s="4"/>
    </row>
    <row r="77" spans="1:26">
      <c r="A77" s="85" t="s">
        <v>196</v>
      </c>
      <c r="B77" s="88"/>
      <c r="C77" s="4"/>
      <c r="D77" s="4"/>
      <c r="E77" s="4"/>
      <c r="F77" s="4"/>
      <c r="G77" s="4"/>
      <c r="H77" s="4"/>
      <c r="I77" s="4"/>
      <c r="J77" s="4"/>
      <c r="K77" s="4"/>
      <c r="L77" s="4"/>
      <c r="M77" s="4"/>
      <c r="N77" s="4"/>
      <c r="O77" s="4"/>
      <c r="P77" s="4"/>
      <c r="Q77" s="4"/>
      <c r="R77" s="4"/>
      <c r="S77" s="4"/>
      <c r="T77" s="4"/>
      <c r="U77" s="4"/>
      <c r="V77" s="4"/>
      <c r="W77" s="4"/>
      <c r="X77" s="4"/>
      <c r="Y77" s="4"/>
      <c r="Z77" s="4"/>
    </row>
    <row r="78" spans="1:26">
      <c r="A78" s="87" t="s">
        <v>79</v>
      </c>
      <c r="B78" s="88">
        <f>Assumptions!E87</f>
        <v>0</v>
      </c>
      <c r="C78" s="4"/>
      <c r="D78" s="4"/>
      <c r="E78" s="4"/>
      <c r="F78" s="4"/>
      <c r="G78" s="4"/>
      <c r="H78" s="4"/>
      <c r="I78" s="4"/>
      <c r="J78" s="4"/>
      <c r="K78" s="4"/>
      <c r="L78" s="4"/>
      <c r="M78" s="4"/>
      <c r="N78" s="4"/>
      <c r="O78" s="4"/>
      <c r="P78" s="4"/>
      <c r="Q78" s="4"/>
      <c r="R78" s="4"/>
      <c r="S78" s="4"/>
      <c r="T78" s="4"/>
      <c r="U78" s="4"/>
      <c r="V78" s="4"/>
      <c r="W78" s="4"/>
      <c r="X78" s="4"/>
      <c r="Y78" s="4"/>
      <c r="Z78" s="4"/>
    </row>
    <row r="79" spans="1:26">
      <c r="A79" s="87" t="s">
        <v>82</v>
      </c>
      <c r="B79" s="89">
        <f>Assumptions!E88</f>
        <v>0</v>
      </c>
      <c r="C79" s="4"/>
      <c r="D79" s="4"/>
      <c r="E79" s="4"/>
      <c r="F79" s="4"/>
      <c r="G79" s="4"/>
      <c r="H79" s="4"/>
      <c r="I79" s="4"/>
      <c r="J79" s="4"/>
      <c r="K79" s="4"/>
      <c r="L79" s="4"/>
      <c r="M79" s="4"/>
      <c r="N79" s="4"/>
      <c r="O79" s="4"/>
      <c r="P79" s="4"/>
      <c r="Q79" s="4"/>
      <c r="R79" s="4"/>
      <c r="S79" s="4"/>
      <c r="T79" s="4"/>
      <c r="U79" s="4"/>
      <c r="V79" s="4"/>
      <c r="W79" s="4"/>
      <c r="X79" s="4"/>
      <c r="Y79" s="4"/>
      <c r="Z79" s="4"/>
    </row>
    <row r="80" spans="1:26">
      <c r="A80" s="85" t="s">
        <v>197</v>
      </c>
      <c r="B80" s="90">
        <f>SUM(B78:B79)</f>
        <v>0</v>
      </c>
      <c r="C80" s="4"/>
      <c r="D80" s="4"/>
      <c r="E80" s="4"/>
      <c r="F80" s="4"/>
      <c r="G80" s="4"/>
      <c r="H80" s="4"/>
      <c r="I80" s="4"/>
      <c r="J80" s="4"/>
      <c r="K80" s="4"/>
      <c r="L80" s="4"/>
      <c r="M80" s="4"/>
      <c r="N80" s="4"/>
      <c r="O80" s="4"/>
      <c r="P80" s="4"/>
      <c r="Q80" s="4"/>
      <c r="R80" s="4"/>
      <c r="S80" s="4"/>
      <c r="T80" s="4"/>
      <c r="U80" s="4"/>
      <c r="V80" s="4"/>
      <c r="W80" s="4"/>
      <c r="X80" s="4"/>
      <c r="Y80" s="4"/>
      <c r="Z80" s="4"/>
    </row>
    <row r="81" spans="1:26">
      <c r="A81" s="85"/>
      <c r="B81" s="90"/>
      <c r="C81" s="4"/>
      <c r="D81" s="4"/>
      <c r="E81" s="4"/>
      <c r="F81" s="4"/>
      <c r="G81" s="4"/>
      <c r="H81" s="4"/>
      <c r="I81" s="4"/>
      <c r="J81" s="4"/>
      <c r="K81" s="4"/>
      <c r="L81" s="4"/>
      <c r="M81" s="4"/>
      <c r="N81" s="4"/>
      <c r="O81" s="4"/>
      <c r="P81" s="4"/>
      <c r="Q81" s="4"/>
      <c r="R81" s="4"/>
      <c r="S81" s="4"/>
      <c r="T81" s="4"/>
      <c r="U81" s="4"/>
      <c r="V81" s="4"/>
      <c r="W81" s="4"/>
      <c r="X81" s="4"/>
      <c r="Y81" s="4"/>
      <c r="Z81" s="4"/>
    </row>
    <row r="82" spans="1:26">
      <c r="A82" s="85" t="s">
        <v>198</v>
      </c>
      <c r="B82" s="88"/>
      <c r="C82" s="4"/>
      <c r="D82" s="4"/>
      <c r="E82" s="4"/>
      <c r="F82" s="4"/>
      <c r="G82" s="4"/>
      <c r="H82" s="4"/>
      <c r="I82" s="4"/>
      <c r="J82" s="4"/>
      <c r="K82" s="4"/>
      <c r="L82" s="4"/>
      <c r="M82" s="4"/>
      <c r="N82" s="4"/>
      <c r="O82" s="4"/>
      <c r="P82" s="4"/>
      <c r="Q82" s="4"/>
      <c r="R82" s="4"/>
      <c r="S82" s="4"/>
      <c r="T82" s="4"/>
      <c r="U82" s="4"/>
      <c r="V82" s="4"/>
      <c r="W82" s="4"/>
      <c r="X82" s="4"/>
      <c r="Y82" s="4"/>
      <c r="Z82" s="4"/>
    </row>
    <row r="83" spans="1:26">
      <c r="A83" s="87" t="s">
        <v>84</v>
      </c>
      <c r="B83" s="88">
        <f>Assumptions!E91</f>
        <v>0</v>
      </c>
      <c r="C83" s="4"/>
      <c r="D83" s="4"/>
      <c r="E83" s="4"/>
      <c r="F83" s="4"/>
      <c r="G83" s="4"/>
      <c r="H83" s="4"/>
      <c r="I83" s="4"/>
      <c r="J83" s="4"/>
      <c r="K83" s="4"/>
      <c r="L83" s="4"/>
      <c r="M83" s="4"/>
      <c r="N83" s="4"/>
      <c r="O83" s="4"/>
      <c r="P83" s="4"/>
      <c r="Q83" s="4"/>
      <c r="R83" s="4"/>
      <c r="S83" s="4"/>
      <c r="T83" s="4"/>
      <c r="U83" s="4"/>
      <c r="V83" s="4"/>
      <c r="W83" s="4"/>
      <c r="X83" s="4"/>
      <c r="Y83" s="4"/>
      <c r="Z83" s="4"/>
    </row>
    <row r="84" spans="1:26">
      <c r="A84" s="87" t="s">
        <v>86</v>
      </c>
      <c r="B84" s="88">
        <f>Assumptions!E92</f>
        <v>0</v>
      </c>
      <c r="C84" s="4"/>
      <c r="D84" s="4"/>
      <c r="E84" s="4"/>
      <c r="F84" s="4"/>
      <c r="G84" s="4"/>
      <c r="H84" s="4"/>
      <c r="I84" s="4"/>
      <c r="J84" s="4"/>
      <c r="K84" s="4"/>
      <c r="L84" s="4"/>
      <c r="M84" s="4"/>
      <c r="N84" s="4"/>
      <c r="O84" s="4"/>
      <c r="P84" s="4"/>
      <c r="Q84" s="4"/>
      <c r="R84" s="4"/>
      <c r="S84" s="4"/>
      <c r="T84" s="4"/>
      <c r="U84" s="4"/>
      <c r="V84" s="4"/>
      <c r="W84" s="4"/>
      <c r="X84" s="4"/>
      <c r="Y84" s="4"/>
      <c r="Z84" s="4"/>
    </row>
    <row r="85" spans="1:26">
      <c r="A85" s="87" t="s">
        <v>90</v>
      </c>
      <c r="B85" s="89">
        <f>Assumptions!E93</f>
        <v>0</v>
      </c>
      <c r="C85" s="4"/>
      <c r="D85" s="4"/>
      <c r="E85" s="4"/>
      <c r="F85" s="4"/>
      <c r="G85" s="4"/>
      <c r="H85" s="4"/>
      <c r="I85" s="4"/>
      <c r="J85" s="4"/>
      <c r="K85" s="4"/>
      <c r="L85" s="4"/>
      <c r="M85" s="4"/>
      <c r="N85" s="4"/>
      <c r="O85" s="4"/>
      <c r="P85" s="4"/>
      <c r="Q85" s="4"/>
      <c r="R85" s="4"/>
      <c r="S85" s="4"/>
      <c r="T85" s="4"/>
      <c r="U85" s="4"/>
      <c r="V85" s="4"/>
      <c r="W85" s="4"/>
      <c r="X85" s="4"/>
      <c r="Y85" s="4"/>
      <c r="Z85" s="4"/>
    </row>
    <row r="86" spans="1:26">
      <c r="A86" s="85" t="s">
        <v>199</v>
      </c>
      <c r="B86" s="90">
        <f>SUM(B83:B85)</f>
        <v>0</v>
      </c>
      <c r="C86" s="4"/>
      <c r="D86" s="4"/>
      <c r="E86" s="4"/>
      <c r="F86" s="4"/>
      <c r="G86" s="4"/>
      <c r="H86" s="4"/>
      <c r="I86" s="4"/>
      <c r="J86" s="4"/>
      <c r="K86" s="4"/>
      <c r="L86" s="4"/>
      <c r="M86" s="4"/>
      <c r="N86" s="4"/>
      <c r="O86" s="4"/>
      <c r="P86" s="4"/>
      <c r="Q86" s="4"/>
      <c r="R86" s="4"/>
      <c r="S86" s="4"/>
      <c r="T86" s="4"/>
      <c r="U86" s="4"/>
      <c r="V86" s="4"/>
      <c r="W86" s="4"/>
      <c r="X86" s="4"/>
      <c r="Y86" s="4"/>
      <c r="Z86" s="4"/>
    </row>
    <row r="87" spans="1:26">
      <c r="A87" s="85"/>
      <c r="B87" s="90"/>
      <c r="C87" s="4"/>
      <c r="D87" s="4"/>
      <c r="E87" s="4"/>
      <c r="F87" s="4"/>
      <c r="G87" s="4"/>
      <c r="H87" s="4"/>
      <c r="I87" s="4"/>
      <c r="J87" s="4"/>
      <c r="K87" s="4"/>
      <c r="L87" s="4"/>
      <c r="M87" s="4"/>
      <c r="N87" s="4"/>
      <c r="O87" s="4"/>
      <c r="P87" s="4"/>
      <c r="Q87" s="4"/>
      <c r="R87" s="4"/>
      <c r="S87" s="4"/>
      <c r="T87" s="4"/>
      <c r="U87" s="4"/>
      <c r="V87" s="4"/>
      <c r="W87" s="4"/>
      <c r="X87" s="4"/>
      <c r="Y87" s="4"/>
      <c r="Z87" s="4"/>
    </row>
    <row r="88" spans="1:26">
      <c r="A88" s="85" t="s">
        <v>200</v>
      </c>
      <c r="B88" s="88"/>
      <c r="C88" s="4"/>
      <c r="D88" s="4"/>
      <c r="E88" s="4"/>
      <c r="F88" s="4"/>
      <c r="G88" s="4"/>
      <c r="H88" s="4"/>
      <c r="I88" s="4"/>
      <c r="J88" s="4"/>
      <c r="K88" s="4"/>
      <c r="L88" s="4"/>
      <c r="M88" s="4"/>
      <c r="N88" s="4"/>
      <c r="O88" s="4"/>
      <c r="P88" s="4"/>
      <c r="Q88" s="4"/>
      <c r="R88" s="4"/>
      <c r="S88" s="4"/>
      <c r="T88" s="4"/>
      <c r="U88" s="4"/>
      <c r="V88" s="4"/>
      <c r="W88" s="4"/>
      <c r="X88" s="4"/>
      <c r="Y88" s="4"/>
      <c r="Z88" s="4"/>
    </row>
    <row r="89" spans="1:26">
      <c r="A89" s="87" t="s">
        <v>93</v>
      </c>
      <c r="B89" s="88">
        <f>Assumptions!E96</f>
        <v>0</v>
      </c>
      <c r="C89" s="4"/>
      <c r="D89" s="4"/>
      <c r="E89" s="4"/>
      <c r="F89" s="4"/>
      <c r="G89" s="4"/>
      <c r="H89" s="4"/>
      <c r="I89" s="4"/>
      <c r="J89" s="4"/>
      <c r="K89" s="4"/>
      <c r="L89" s="4"/>
      <c r="M89" s="4"/>
      <c r="N89" s="4"/>
      <c r="O89" s="4"/>
      <c r="P89" s="4"/>
      <c r="Q89" s="4"/>
      <c r="R89" s="4"/>
      <c r="S89" s="4"/>
      <c r="T89" s="4"/>
      <c r="U89" s="4"/>
      <c r="V89" s="4"/>
      <c r="W89" s="4"/>
      <c r="X89" s="4"/>
      <c r="Y89" s="4"/>
      <c r="Z89" s="4"/>
    </row>
    <row r="90" spans="1:26">
      <c r="A90" s="87" t="s">
        <v>95</v>
      </c>
      <c r="B90" s="88">
        <f>Assumptions!E97</f>
        <v>0</v>
      </c>
      <c r="C90" s="4"/>
      <c r="D90" s="4"/>
      <c r="E90" s="4"/>
      <c r="F90" s="4"/>
      <c r="G90" s="4"/>
      <c r="H90" s="4"/>
      <c r="I90" s="4"/>
      <c r="J90" s="4"/>
      <c r="K90" s="4"/>
      <c r="L90" s="4"/>
      <c r="M90" s="4"/>
      <c r="N90" s="4"/>
      <c r="O90" s="4"/>
      <c r="P90" s="4"/>
      <c r="Q90" s="4"/>
      <c r="R90" s="4"/>
      <c r="S90" s="4"/>
      <c r="T90" s="4"/>
      <c r="U90" s="4"/>
      <c r="V90" s="4"/>
      <c r="W90" s="4"/>
      <c r="X90" s="4"/>
      <c r="Y90" s="4"/>
      <c r="Z90" s="4"/>
    </row>
    <row r="91" spans="1:26">
      <c r="A91" s="87" t="s">
        <v>201</v>
      </c>
      <c r="B91" s="89">
        <f>Assumptions!E98</f>
        <v>0</v>
      </c>
      <c r="C91" s="4"/>
      <c r="D91" s="4"/>
      <c r="E91" s="4"/>
      <c r="F91" s="4"/>
      <c r="G91" s="4"/>
      <c r="H91" s="4"/>
      <c r="I91" s="4"/>
      <c r="J91" s="4"/>
      <c r="K91" s="4"/>
      <c r="L91" s="4"/>
      <c r="M91" s="4"/>
      <c r="N91" s="4"/>
      <c r="O91" s="4"/>
      <c r="P91" s="4"/>
      <c r="Q91" s="4"/>
      <c r="R91" s="4"/>
      <c r="S91" s="4"/>
      <c r="T91" s="4"/>
      <c r="U91" s="4"/>
      <c r="V91" s="4"/>
      <c r="W91" s="4"/>
      <c r="X91" s="4"/>
      <c r="Y91" s="4"/>
      <c r="Z91" s="4"/>
    </row>
    <row r="92" spans="1:26">
      <c r="A92" s="85" t="s">
        <v>202</v>
      </c>
      <c r="B92" s="90">
        <f>SUM(B89:B91)</f>
        <v>0</v>
      </c>
      <c r="C92" s="4"/>
      <c r="D92" s="4"/>
      <c r="E92" s="4"/>
      <c r="F92" s="4"/>
      <c r="G92" s="4"/>
      <c r="H92" s="4"/>
      <c r="I92" s="4"/>
      <c r="J92" s="4"/>
      <c r="K92" s="4"/>
      <c r="L92" s="4"/>
      <c r="M92" s="4"/>
      <c r="N92" s="4"/>
      <c r="O92" s="4"/>
      <c r="P92" s="4"/>
      <c r="Q92" s="4"/>
      <c r="R92" s="4"/>
      <c r="S92" s="4"/>
      <c r="T92" s="4"/>
      <c r="U92" s="4"/>
      <c r="V92" s="4"/>
      <c r="W92" s="4"/>
      <c r="X92" s="4"/>
      <c r="Y92" s="4"/>
      <c r="Z92" s="4"/>
    </row>
    <row r="93" spans="1:26">
      <c r="A93" s="85"/>
      <c r="B93" s="90"/>
      <c r="C93" s="4"/>
      <c r="D93" s="4"/>
      <c r="E93" s="4"/>
      <c r="F93" s="4"/>
      <c r="G93" s="4"/>
      <c r="H93" s="4"/>
      <c r="I93" s="4"/>
      <c r="J93" s="4"/>
      <c r="K93" s="4"/>
      <c r="L93" s="4"/>
      <c r="M93" s="4"/>
      <c r="N93" s="4"/>
      <c r="O93" s="4"/>
      <c r="P93" s="4"/>
      <c r="Q93" s="4"/>
      <c r="R93" s="4"/>
      <c r="S93" s="4"/>
      <c r="T93" s="4"/>
      <c r="U93" s="4"/>
      <c r="V93" s="4"/>
      <c r="W93" s="4"/>
      <c r="X93" s="4"/>
      <c r="Y93" s="4"/>
      <c r="Z93" s="4"/>
    </row>
    <row r="94" spans="1:26">
      <c r="A94" s="85" t="s">
        <v>203</v>
      </c>
      <c r="B94" s="88"/>
      <c r="C94" s="4"/>
      <c r="D94" s="4"/>
      <c r="E94" s="4"/>
      <c r="F94" s="4"/>
      <c r="G94" s="4"/>
      <c r="H94" s="4"/>
      <c r="I94" s="4"/>
      <c r="J94" s="4"/>
      <c r="K94" s="4"/>
      <c r="L94" s="4"/>
      <c r="M94" s="4"/>
      <c r="N94" s="4"/>
      <c r="O94" s="4"/>
      <c r="P94" s="4"/>
      <c r="Q94" s="4"/>
      <c r="R94" s="4"/>
      <c r="S94" s="4"/>
      <c r="T94" s="4"/>
      <c r="U94" s="4"/>
      <c r="V94" s="4"/>
      <c r="W94" s="4"/>
      <c r="X94" s="4"/>
      <c r="Y94" s="4"/>
      <c r="Z94" s="4"/>
    </row>
    <row r="95" spans="1:26">
      <c r="A95" s="87" t="s">
        <v>98</v>
      </c>
      <c r="B95" s="88">
        <f>Assumptions!E101</f>
        <v>0</v>
      </c>
      <c r="C95" s="4"/>
      <c r="D95" s="4"/>
      <c r="E95" s="4"/>
      <c r="F95" s="4"/>
      <c r="G95" s="4"/>
      <c r="H95" s="4"/>
      <c r="I95" s="4"/>
      <c r="J95" s="4"/>
      <c r="K95" s="4"/>
      <c r="L95" s="4"/>
      <c r="M95" s="4"/>
      <c r="N95" s="4"/>
      <c r="O95" s="4"/>
      <c r="P95" s="4"/>
      <c r="Q95" s="4"/>
      <c r="R95" s="4"/>
      <c r="S95" s="4"/>
      <c r="T95" s="4"/>
      <c r="U95" s="4"/>
      <c r="V95" s="4"/>
      <c r="W95" s="4"/>
      <c r="X95" s="4"/>
      <c r="Y95" s="4"/>
      <c r="Z95" s="4"/>
    </row>
    <row r="96" spans="1:26">
      <c r="A96" s="87" t="s">
        <v>99</v>
      </c>
      <c r="B96" s="88">
        <f>Assumptions!E102</f>
        <v>0</v>
      </c>
      <c r="C96" s="4"/>
      <c r="D96" s="4"/>
      <c r="E96" s="4"/>
      <c r="F96" s="4"/>
      <c r="G96" s="4"/>
      <c r="H96" s="4"/>
      <c r="I96" s="4"/>
      <c r="J96" s="4"/>
      <c r="K96" s="4"/>
      <c r="L96" s="4"/>
      <c r="M96" s="4"/>
      <c r="N96" s="4"/>
      <c r="O96" s="4"/>
      <c r="P96" s="4"/>
      <c r="Q96" s="4"/>
      <c r="R96" s="4"/>
      <c r="S96" s="4"/>
      <c r="T96" s="4"/>
      <c r="U96" s="4"/>
      <c r="V96" s="4"/>
      <c r="W96" s="4"/>
      <c r="X96" s="4"/>
      <c r="Y96" s="4"/>
      <c r="Z96" s="4"/>
    </row>
    <row r="97" spans="1:26">
      <c r="A97" s="87" t="s">
        <v>100</v>
      </c>
      <c r="B97" s="89">
        <f>Assumptions!E103</f>
        <v>0</v>
      </c>
      <c r="C97" s="4"/>
      <c r="D97" s="4"/>
      <c r="E97" s="4"/>
      <c r="F97" s="4"/>
      <c r="G97" s="4"/>
      <c r="H97" s="4"/>
      <c r="I97" s="4"/>
      <c r="J97" s="4"/>
      <c r="K97" s="4"/>
      <c r="L97" s="4"/>
      <c r="M97" s="4"/>
      <c r="N97" s="4"/>
      <c r="O97" s="4"/>
      <c r="P97" s="4"/>
      <c r="Q97" s="4"/>
      <c r="R97" s="4"/>
      <c r="S97" s="4"/>
      <c r="T97" s="4"/>
      <c r="U97" s="4"/>
      <c r="V97" s="4"/>
      <c r="W97" s="4"/>
      <c r="X97" s="4"/>
      <c r="Y97" s="4"/>
      <c r="Z97" s="4"/>
    </row>
    <row r="98" spans="1:26">
      <c r="A98" s="85" t="s">
        <v>204</v>
      </c>
      <c r="B98" s="90">
        <f>SUM(B95:B97)</f>
        <v>0</v>
      </c>
      <c r="C98" s="4"/>
      <c r="D98" s="4"/>
      <c r="E98" s="4"/>
      <c r="F98" s="4"/>
      <c r="G98" s="4"/>
      <c r="H98" s="4"/>
      <c r="I98" s="4"/>
      <c r="J98" s="4"/>
      <c r="K98" s="4"/>
      <c r="L98" s="4"/>
      <c r="M98" s="4"/>
      <c r="N98" s="4"/>
      <c r="O98" s="4"/>
      <c r="P98" s="4"/>
      <c r="Q98" s="4"/>
      <c r="R98" s="4"/>
      <c r="S98" s="4"/>
      <c r="T98" s="4"/>
      <c r="U98" s="4"/>
      <c r="V98" s="4"/>
      <c r="W98" s="4"/>
      <c r="X98" s="4"/>
      <c r="Y98" s="4"/>
      <c r="Z98" s="4"/>
    </row>
    <row r="99" spans="1:26">
      <c r="A99" s="85"/>
      <c r="B99" s="90"/>
      <c r="C99" s="4"/>
      <c r="D99" s="4"/>
      <c r="E99" s="4"/>
      <c r="F99" s="4"/>
      <c r="G99" s="4"/>
      <c r="H99" s="4"/>
      <c r="I99" s="4"/>
      <c r="J99" s="4"/>
      <c r="K99" s="4"/>
      <c r="L99" s="4"/>
      <c r="M99" s="4"/>
      <c r="N99" s="4"/>
      <c r="O99" s="4"/>
      <c r="P99" s="4"/>
      <c r="Q99" s="4"/>
      <c r="R99" s="4"/>
      <c r="S99" s="4"/>
      <c r="T99" s="4"/>
      <c r="U99" s="4"/>
      <c r="V99" s="4"/>
      <c r="W99" s="4"/>
      <c r="X99" s="4"/>
      <c r="Y99" s="4"/>
      <c r="Z99" s="4"/>
    </row>
    <row r="100" spans="1:26">
      <c r="A100" s="85" t="s">
        <v>205</v>
      </c>
      <c r="B100" s="88"/>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87" t="s">
        <v>206</v>
      </c>
      <c r="B101" s="88">
        <f>Assumptions!E106</f>
        <v>0</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87" t="s">
        <v>107</v>
      </c>
      <c r="B102" s="88">
        <f>Assumptions!E107</f>
        <v>0</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87" t="s">
        <v>103</v>
      </c>
      <c r="B103" s="88">
        <f>Assumptions!E108</f>
        <v>0</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87" t="s">
        <v>109</v>
      </c>
      <c r="B104" s="88">
        <f>Assumptions!E109</f>
        <v>0</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87" t="s">
        <v>207</v>
      </c>
      <c r="B105" s="89">
        <f>Assumptions!E110</f>
        <v>0</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85" t="s">
        <v>208</v>
      </c>
      <c r="B106" s="90">
        <f>SUM(B101:B105)</f>
        <v>0</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85"/>
      <c r="B107" s="90"/>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85" t="s">
        <v>209</v>
      </c>
      <c r="B108" s="88"/>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87" t="s">
        <v>210</v>
      </c>
      <c r="B109" s="88">
        <f>Assumptions!E113</f>
        <v>0</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87" t="s">
        <v>113</v>
      </c>
      <c r="B110" s="88">
        <f>Assumptions!E114</f>
        <v>0</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87" t="s">
        <v>115</v>
      </c>
      <c r="B111" s="88">
        <f>Assumptions!E115</f>
        <v>0</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85" t="s">
        <v>211</v>
      </c>
      <c r="B112" s="89">
        <f>SUM(B109:B111)</f>
        <v>0</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87"/>
      <c r="B113" s="88"/>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85" t="s">
        <v>212</v>
      </c>
      <c r="B114" s="88"/>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5">
      <c r="A115" s="99" t="s">
        <v>213</v>
      </c>
      <c r="B115" s="88">
        <f>Assumptions!E118</f>
        <v>0</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68" t="s">
        <v>119</v>
      </c>
      <c r="B116" s="88">
        <f>Assumptions!E119</f>
        <v>0</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68" t="s">
        <v>120</v>
      </c>
      <c r="B117" s="88">
        <f>Assumptions!E120</f>
        <v>0</v>
      </c>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65" t="s">
        <v>122</v>
      </c>
      <c r="B118" s="88">
        <f>Assumptions!E121</f>
        <v>0</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65" t="s">
        <v>123</v>
      </c>
      <c r="B119" s="88">
        <f>Assumptions!E122</f>
        <v>0</v>
      </c>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65" t="s">
        <v>124</v>
      </c>
      <c r="B120" s="88">
        <f>Assumptions!E123</f>
        <v>0</v>
      </c>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65" t="s">
        <v>125</v>
      </c>
      <c r="B121" s="88">
        <f>Assumptions!E124</f>
        <v>0</v>
      </c>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65" t="s">
        <v>126</v>
      </c>
      <c r="B122" s="88">
        <f>Assumptions!E125</f>
        <v>0</v>
      </c>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65" t="s">
        <v>127</v>
      </c>
      <c r="B123" s="88">
        <f>Assumptions!E126</f>
        <v>0</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65" t="s">
        <v>128</v>
      </c>
      <c r="B124" s="88">
        <f>Assumptions!E127</f>
        <v>0</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65" t="s">
        <v>129</v>
      </c>
      <c r="B125" s="88">
        <f>Assumptions!E128</f>
        <v>0</v>
      </c>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65" t="s">
        <v>131</v>
      </c>
      <c r="B126" s="88">
        <f>Assumptions!E129</f>
        <v>0</v>
      </c>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65" t="s">
        <v>132</v>
      </c>
      <c r="B127" s="88">
        <f>Assumptions!E130</f>
        <v>0</v>
      </c>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65" t="s">
        <v>133</v>
      </c>
      <c r="B128" s="88">
        <f>Assumptions!E131</f>
        <v>0</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65" t="s">
        <v>134</v>
      </c>
      <c r="B129" s="89">
        <f>Assumptions!E132</f>
        <v>0</v>
      </c>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85" t="s">
        <v>214</v>
      </c>
      <c r="B130" s="90">
        <f>SUM(B115:B129)</f>
        <v>0</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85"/>
      <c r="B131" s="90"/>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85" t="s">
        <v>215</v>
      </c>
      <c r="B132" s="88"/>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87" t="s">
        <v>136</v>
      </c>
      <c r="B133" s="88">
        <f>Assumptions!E135</f>
        <v>0</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87" t="s">
        <v>137</v>
      </c>
      <c r="B134" s="89">
        <f>Assumptions!E136</f>
        <v>0</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85" t="s">
        <v>216</v>
      </c>
      <c r="B135" s="90">
        <f>SUM(B133:B134)</f>
        <v>0</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85"/>
      <c r="B136" s="90"/>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85" t="s">
        <v>217</v>
      </c>
      <c r="B137" s="8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87" t="s">
        <v>218</v>
      </c>
      <c r="B138" s="88">
        <f>IF(AND(Assumptions!$H139="Total"),Assumptions!E139,IF(AND(Assumptions!$H139="Per Pupil"),Assumptions!E139*Assumptions!E$22,0))</f>
        <v>7000</v>
      </c>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87" t="s">
        <v>219</v>
      </c>
      <c r="B139" s="88">
        <f>IF(AND(Assumptions!$H140="Total"),Assumptions!E140,IF(AND(Assumptions!$H140="Per Pupil"),Assumptions!E140*Assumptions!E$22,0))</f>
        <v>15000</v>
      </c>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65" t="s">
        <v>220</v>
      </c>
      <c r="B140" s="88">
        <f>IF(AND(Assumptions!$H141="Total"),Assumptions!E141,IF(AND(Assumptions!$H141="Per Pupil"),Assumptions!E141*Assumptions!E$22,0))</f>
        <v>15000</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87" t="s">
        <v>221</v>
      </c>
      <c r="B141" s="88">
        <f>IF(AND(Assumptions!$H142="Total"),Assumptions!E142,IF(AND(Assumptions!$H142="Per Pupil"),Assumptions!E142*Assumptions!E$22,0))</f>
        <v>25000</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87" t="s">
        <v>222</v>
      </c>
      <c r="B142" s="88">
        <f>IF(AND(Assumptions!$H143="Total"),Assumptions!E143,IF(AND(Assumptions!$H143="Per Pupil"),Assumptions!E143*Assumptions!E$22,0))</f>
        <v>125000</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87" t="s">
        <v>223</v>
      </c>
      <c r="B143" s="88">
        <f>IF(AND(Assumptions!$H144="Total"),Assumptions!E144,IF(AND(Assumptions!$H144="Per Pupil"),Assumptions!E144*Assumptions!E$22,0))</f>
        <v>2500</v>
      </c>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87" t="s">
        <v>224</v>
      </c>
      <c r="B144" s="88">
        <f>IF(AND(Assumptions!$H145="Total"),Assumptions!E145,IF(AND(Assumptions!$H145="Per Pupil"),Assumptions!E145*Assumptions!E$22,0))</f>
        <v>6000</v>
      </c>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87" t="s">
        <v>225</v>
      </c>
      <c r="B145" s="88">
        <f>IF(AND(Assumptions!$H146="Total"),Assumptions!E146,IF(AND(Assumptions!$H146="Per Pupil"),Assumptions!E146*Assumptions!E$22,0))</f>
        <v>100000</v>
      </c>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87" t="s">
        <v>226</v>
      </c>
      <c r="B146" s="88">
        <f>IF(AND(Assumptions!$H149="Total"),Assumptions!E149,IF(AND(Assumptions!$H149="Per Pupil"),Assumptions!E149*Assumptions!E$22,0))</f>
        <v>1812038</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87" t="s">
        <v>227</v>
      </c>
      <c r="B147" s="88">
        <f>IF(AND(Assumptions!$H151="Total"),Assumptions!E151,IF(AND(Assumptions!$H151="Per Pupil"),Assumptions!E151*Assumptions!E$22,0))</f>
        <v>0</v>
      </c>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87" t="s">
        <v>228</v>
      </c>
      <c r="B148" s="88">
        <f>IF(AND(Assumptions!$H152="Total"),Assumptions!E152,IF(AND(Assumptions!$H152="Per Pupil"),Assumptions!E152*Assumptions!E$22,0))</f>
        <v>0</v>
      </c>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87" t="s">
        <v>229</v>
      </c>
      <c r="B149" s="88">
        <f>IF(AND(Assumptions!$H153="Total"),Assumptions!E153,IF(AND(Assumptions!$H153="Per Pupil"),Assumptions!E153*Assumptions!E$22,0))</f>
        <v>45000</v>
      </c>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87" t="s">
        <v>230</v>
      </c>
      <c r="B150" s="88">
        <f>IF(AND(Assumptions!$H154="Total"),Assumptions!E154,IF(AND(Assumptions!$H154="Per Pupil"),Assumptions!E154*Assumptions!E$22,0))</f>
        <v>70000</v>
      </c>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87" t="s">
        <v>231</v>
      </c>
      <c r="B151" s="88">
        <f>IF(AND(Assumptions!$H155="Total"),Assumptions!E155,IF(AND(Assumptions!$H155="Per Pupil"),Assumptions!E155*Assumptions!E$22,0))</f>
        <v>12500</v>
      </c>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87" t="s">
        <v>232</v>
      </c>
      <c r="B152" s="88">
        <f>IF(AND(Assumptions!$H156="Total"),Assumptions!E156,IF(AND(Assumptions!$H156="Per Pupil"),Assumptions!E156*Assumptions!E$22,0))</f>
        <v>1350</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87" t="s">
        <v>233</v>
      </c>
      <c r="B153" s="88">
        <f>IF(AND(Assumptions!$H157="Total"),Assumptions!E157,IF(AND(Assumptions!$H157="Per Pupil"),Assumptions!E157*Assumptions!E$22,0))</f>
        <v>18000</v>
      </c>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87" t="s">
        <v>234</v>
      </c>
      <c r="B154" s="88">
        <f>IF(AND(Assumptions!$H158="Total"),Assumptions!E158,IF(AND(Assumptions!$H158="Per Pupil"),Assumptions!E158*Assumptions!E$22,0))</f>
        <v>15000</v>
      </c>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87" t="s">
        <v>235</v>
      </c>
      <c r="B155" s="88">
        <f>IF(AND(Assumptions!$H159="Total"),Assumptions!E159,IF(AND(Assumptions!$H159="Per Pupil"),Assumptions!E159*Assumptions!E$22,0))</f>
        <v>5000</v>
      </c>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87" t="s">
        <v>236</v>
      </c>
      <c r="B156" s="88">
        <f>IF(AND(Assumptions!$H160="Total"),Assumptions!E160,IF(AND(Assumptions!$H160="Per Pupil"),Assumptions!E160*Assumptions!E$22,0))</f>
        <v>1100</v>
      </c>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87" t="s">
        <v>237</v>
      </c>
      <c r="B157" s="88">
        <f>IF(AND(Assumptions!$H161="Total"),Assumptions!E161,IF(AND(Assumptions!$H161="Per Pupil"),Assumptions!E161*Assumptions!E$22,0))</f>
        <v>10000</v>
      </c>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87" t="str">
        <f>Assumptions!A162</f>
        <v>Oasis HR Services</v>
      </c>
      <c r="B158" s="88">
        <f>IF(AND(Assumptions!$H162="Total"),Assumptions!E162,IF(AND(Assumptions!$H162="Per Pupil"),Assumptions!E162*Assumptions!E$22,0))</f>
        <v>54000</v>
      </c>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87" t="str">
        <f>Assumptions!A163</f>
        <v>Audit Fees</v>
      </c>
      <c r="B159" s="88">
        <f>IF(AND(Assumptions!$H163="Total"),Assumptions!E163,IF(AND(Assumptions!$H163="Per Pupil"),Assumptions!E163*Assumptions!E$22,0))</f>
        <v>12500</v>
      </c>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87" t="str">
        <f>Assumptions!A164</f>
        <v>Accounting Fees</v>
      </c>
      <c r="B160" s="88">
        <f>IF(AND(Assumptions!$H164="Total"),Assumptions!E164,IF(AND(Assumptions!$H164="Per Pupil"),Assumptions!E164*Assumptions!E$22,0))</f>
        <v>21000</v>
      </c>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87" t="str">
        <f>Assumptions!A165</f>
        <v>Other</v>
      </c>
      <c r="B161" s="88">
        <f>IF(AND(Assumptions!$H165="Total"),Assumptions!E165,IF(AND(Assumptions!$H165="Per Pupil"),Assumptions!E165*Assumptions!E$22,0))</f>
        <v>0</v>
      </c>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87" t="str">
        <f>Assumptions!A166</f>
        <v>IT Services</v>
      </c>
      <c r="B162" s="88">
        <f>IF(AND(Assumptions!$H166="Total"),Assumptions!E166,IF(AND(Assumptions!$H166="Per Pupil"),Assumptions!E166*Assumptions!E$22,0))</f>
        <v>30000</v>
      </c>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87" t="str">
        <f>Assumptions!A167</f>
        <v>Special Education Contracted Services</v>
      </c>
      <c r="B163" s="88">
        <f>IF(AND(Assumptions!$H167="Total"),Assumptions!E167,IF(AND(Assumptions!$H167="Per Pupil"),Assumptions!E167*Assumptions!E$22,0))</f>
        <v>200000</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87" t="str">
        <f>Assumptions!A168</f>
        <v>Other</v>
      </c>
      <c r="B164" s="88">
        <f>IF(AND(Assumptions!$H168="Total"),Assumptions!E168,IF(AND(Assumptions!$H168="Per Pupil"),Assumptions!E168*Assumptions!E$22,0))</f>
        <v>0</v>
      </c>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87" t="str">
        <f>Assumptions!A169</f>
        <v>Other</v>
      </c>
      <c r="B165" s="89">
        <f>IF(AND(Assumptions!$H169="Total"),Assumptions!E169,IF(AND(Assumptions!$H169="Per Pupil"),Assumptions!E169*Assumptions!E$22,0))</f>
        <v>0</v>
      </c>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85" t="s">
        <v>238</v>
      </c>
      <c r="B166" s="90">
        <f>SUM(B138:B165)</f>
        <v>2602988</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85"/>
      <c r="B167" s="90"/>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85" t="s">
        <v>239</v>
      </c>
      <c r="B168" s="88"/>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87" t="s">
        <v>240</v>
      </c>
      <c r="B169" s="88">
        <f>Assumptions!E172</f>
        <v>80000</v>
      </c>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87" t="s">
        <v>241</v>
      </c>
      <c r="B170" s="88">
        <f>Assumptions!E173</f>
        <v>26000</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87" t="s">
        <v>242</v>
      </c>
      <c r="B171" s="88">
        <f>Assumptions!E174</f>
        <v>50000</v>
      </c>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87" t="s">
        <v>243</v>
      </c>
      <c r="B172" s="88">
        <f>Assumptions!E175</f>
        <v>10500</v>
      </c>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87" t="s">
        <v>244</v>
      </c>
      <c r="B173" s="89">
        <f>Assumptions!E176</f>
        <v>0</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85" t="s">
        <v>245</v>
      </c>
      <c r="B174" s="90">
        <f>SUM(B169:B173)</f>
        <v>166500</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85"/>
      <c r="B175" s="90"/>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85" t="s">
        <v>246</v>
      </c>
      <c r="B176" s="90"/>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87" t="s">
        <v>247</v>
      </c>
      <c r="B177" s="88">
        <f>Assumptions!E179</f>
        <v>2500</v>
      </c>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87" t="s">
        <v>248</v>
      </c>
      <c r="B178" s="88">
        <f>Assumptions!E180</f>
        <v>0</v>
      </c>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87" t="s">
        <v>249</v>
      </c>
      <c r="B179" s="88">
        <f>Assumptions!E181</f>
        <v>0</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87" t="s">
        <v>250</v>
      </c>
      <c r="B180" s="89">
        <f>Assumptions!E182</f>
        <v>2500</v>
      </c>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85" t="s">
        <v>251</v>
      </c>
      <c r="B181" s="90">
        <f>SUM(B177:B180)</f>
        <v>5000</v>
      </c>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85"/>
      <c r="B182" s="90"/>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85" t="s">
        <v>252</v>
      </c>
      <c r="B183" s="90"/>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87" t="s">
        <v>253</v>
      </c>
      <c r="B184" s="88">
        <f>Assumptions!E185</f>
        <v>6943.7250000000004</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87" t="s">
        <v>254</v>
      </c>
      <c r="B185" s="89">
        <f>Assumptions!E186</f>
        <v>0</v>
      </c>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85" t="s">
        <v>255</v>
      </c>
      <c r="B186" s="90">
        <f>SUM(B184:B185)</f>
        <v>6943.7250000000004</v>
      </c>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85"/>
      <c r="B187" s="90"/>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 r="A188" s="100" t="s">
        <v>256</v>
      </c>
      <c r="B188" s="92">
        <f>B186+B181+B174+B166+B135+B130+B112+B106+B98+B92+B86+B80+B75+B67+B55</f>
        <v>7660626.6445000004</v>
      </c>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23"/>
      <c r="B189" s="90"/>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23" t="s">
        <v>257</v>
      </c>
      <c r="B190" s="101"/>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87"/>
      <c r="B191" s="88"/>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 r="A192" s="102" t="s">
        <v>258</v>
      </c>
      <c r="B192" s="90">
        <f>B28-B188-B190</f>
        <v>1025195.3554999996</v>
      </c>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30">
      <c r="A193" s="103" t="s">
        <v>259</v>
      </c>
      <c r="B193" s="88">
        <f>(B28-B26)*0.03-B196</f>
        <v>61332.78</v>
      </c>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104" t="s">
        <v>260</v>
      </c>
      <c r="B194" s="88">
        <f>B192-B193</f>
        <v>963862.57549999957</v>
      </c>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105"/>
      <c r="B195" s="88"/>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106" t="s">
        <v>261</v>
      </c>
      <c r="B196" s="90">
        <f>'Year 2'!B197</f>
        <v>199241.88</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106" t="s">
        <v>262</v>
      </c>
      <c r="B197" s="90">
        <f>B193+B196</f>
        <v>260574.66</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105"/>
      <c r="B198" s="8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106" t="s">
        <v>263</v>
      </c>
      <c r="B199" s="90">
        <f>'Year 2'!B200</f>
        <v>768017.95399999991</v>
      </c>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106" t="s">
        <v>264</v>
      </c>
      <c r="B200" s="90">
        <f>B199+B192</f>
        <v>1793213.3094999995</v>
      </c>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87"/>
      <c r="B201" s="88"/>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87"/>
      <c r="B202" s="88"/>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85"/>
      <c r="B203" s="90"/>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85"/>
      <c r="B204" s="90"/>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85"/>
      <c r="B205" s="90"/>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87"/>
      <c r="B206" s="88"/>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87"/>
      <c r="B207" s="88"/>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85"/>
      <c r="B208" s="90"/>
      <c r="C208" s="4"/>
      <c r="D208" s="4"/>
      <c r="E208" s="4"/>
      <c r="F208" s="4"/>
      <c r="G208" s="4"/>
      <c r="H208" s="4"/>
      <c r="I208" s="4"/>
      <c r="J208" s="4"/>
      <c r="K208" s="4"/>
      <c r="L208" s="4"/>
      <c r="M208" s="4"/>
      <c r="N208" s="4"/>
      <c r="O208" s="4"/>
      <c r="P208" s="4"/>
      <c r="Q208" s="4"/>
      <c r="R208" s="4"/>
      <c r="S208" s="4"/>
      <c r="T208" s="4"/>
      <c r="U208" s="4"/>
      <c r="V208" s="4"/>
      <c r="W208" s="76" t="e">
        <f>(SUM(Assumptions!E69:E77,Assumptions!E80:E84,Assumptions!E87:E88,Assumptions!E91:E93,Assumptions!E96:E98,Assumptions!E101:E103,Assumptions!E106:E106,Assumptions!#REF!,Assumptions!#REF!,Assumptions!#REF!,Assumptions!E107:E110,Assumptions!E113:E118,Assumptions!E135:E136,Assumptions!E172:E176,Assumptions!E179:E182,Assumptions!E185:E186)+IF(AND(Assumptions!$H139="Total"),Assumptions!E139,IF(AND(Assumptions!$H139="Per Pupil"),Assumptions!E139*Assumptions!E$22,0))+IF(AND(Assumptions!$H140="Total"),Assumptions!E140,IF(AND(Assumptions!$H140="Per Pupil"),Assumptions!E140*Assumptions!E$22,0))+IF(AND(Assumptions!$H141="Total"),Assumptions!E141,IF(AND(Assumptions!$H141="Per Pupil"),Assumptions!E141*Assumptions!E$22,0))+IF(AND(Assumptions!$H142="Total"),Assumptions!E142,IF(AND(Assumptions!$H142="Per Pupil"),Assumptions!E142*Assumptions!E$22,0))+IF(AND(Assumptions!$H143="Total"),Assumptions!E143,IF(AND(Assumptions!$H143="Per Pupil"),Assumptions!E143*Assumptions!E$22,0))+IF(AND(Assumptions!$H144="Total"),Assumptions!E144,IF(AND(Assumptions!$H144="Per Pupil"),Assumptions!E144*Assumptions!E$22,0))+IF(AND(Assumptions!$H145="Total"),Assumptions!E145,IF(AND(Assumptions!$H145="Per Pupil"),Assumptions!E145*Assumptions!E$22,0))+IF(AND(Assumptions!$H146="Total"),Assumptions!E146,IF(AND(Assumptions!$H146="Per Pupil"),Assumptions!E146*Assumptions!E$22,0))+IF(AND(Assumptions!$H149="Total"),Assumptions!E149,IF(AND(Assumptions!$H149="Per Pupil"),Assumptions!E149*Assumptions!E$22,0))+IF(AND(Assumptions!$H151="Total"),Assumptions!E151,IF(AND(Assumptions!$H151="Per Pupil"),Assumptions!E151*Assumptions!E$22,0))+IF(AND(Assumptions!$H152="Total"),Assumptions!E152,IF(AND(Assumptions!$H152="Per Pupil"),Assumptions!E152*Assumptions!E$22,0))+IF(AND(Assumptions!$H153="Total"),Assumptions!E153,IF(AND(Assumptions!$H153="Per Pupil"),Assumptions!E153*Assumptions!E$22,0))+IF(AND(Assumptions!$H154="Total"),Assumptions!E154,IF(AND(Assumptions!$H154="Per Pupil"),Assumptions!E154*Assumptions!E$22,0))+IF(AND(Assumptions!$H155="Total"),Assumptions!E155,IF(AND(Assumptions!$H155="Per Pupil"),Assumptions!E155*Assumptions!E$22,0))+IF(AND(Assumptions!$H156="Total"),Assumptions!E156,IF(AND(Assumptions!$H156="Per Pupil"),Assumptions!E156*Assumptions!E$22,0))+IF(AND(Assumptions!$H157="Total"),Assumptions!E157,IF(AND(Assumptions!$H157="Per Pupil"),Assumptions!E157*Assumptions!E$22,0))+IF(AND(Assumptions!$H158="Total"),Assumptions!E158,IF(AND(Assumptions!$H158="Per Pupil"),Assumptions!E158*Assumptions!E$22,0))+IF(AND(Assumptions!$H159="Total"),Assumptions!E159,IF(AND(Assumptions!$H159="Per Pupil"),Assumptions!E159*Assumptions!E$22,0))+IF(AND(Assumptions!$H160="Total"),Assumptions!E160,IF(AND(Assumptions!$H160="Per Pupil"),Assumptions!E160*Assumptions!E$22,0))+IF(AND(Assumptions!$H161="Total"),Assumptions!E161,IF(AND(Assumptions!$H161="Per Pupil"),Assumptions!E161*Assumptions!E$22,0))+IF(AND(Assumptions!$H162="Total"),Assumptions!E162,IF(AND(Assumptions!$H162="Per Pupil"),Assumptions!E162*Assumptions!E$22,0))+IF(AND(Assumptions!$H163="Total"),Assumptions!E163,IF(AND(Assumptions!$H163="Per Pupil"),Assumptions!E163*Assumptions!E$22,0))+IF(AND(Assumptions!$H164="Total"),Assumptions!E164,IF(AND(Assumptions!$H164="Per Pupil"),Assumptions!E164*Assumptions!E$22,0))+IF(AND(Assumptions!$H165="Total"),Assumptions!E165,IF(AND(Assumptions!$H165="Per Pupil"),Assumptions!E165*Assumptions!E$22,0))+IF(AND(Assumptions!$H166="Total"),Assumptions!E166,IF(AND(Assumptions!$H166="Per Pupil"),Assumptions!E166*Assumptions!E$22,0))+IF(AND(Assumptions!$H167="Total"),Assumptions!E167,IF(AND(Assumptions!$H167="Per Pupil"),Assumptions!E167*Assumptions!E$22,0))+IF(AND(Assumptions!$H168="Total"),Assumptions!E168,IF(AND(Assumptions!$H168="Per Pupil"),Assumptions!E168*Assumptions!E$22,0))+IF(AND(Assumptions!$H169="Total"),Assumptions!E169,IF(AND(Assumptions!$H169="Per Pupil"),Assumptions!E169*Assumptions!E$22,0)))-($B$210-$B$55)</f>
        <v>#REF!</v>
      </c>
      <c r="X208" s="76"/>
      <c r="Y208" s="4"/>
      <c r="Z208" s="4"/>
    </row>
    <row r="209" spans="1:26">
      <c r="A209" s="85"/>
      <c r="B209" s="90"/>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 r="A210" s="108"/>
      <c r="B210" s="90"/>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23"/>
      <c r="B211" s="90"/>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23"/>
      <c r="B212" s="90"/>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87"/>
      <c r="B213" s="88"/>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 r="A214" s="109"/>
      <c r="B214" s="110"/>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111"/>
      <c r="B215" s="112"/>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111"/>
      <c r="B216" s="112"/>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11"/>
      <c r="B217" s="112"/>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10"/>
      <c r="B218" s="110"/>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10"/>
      <c r="B219" s="110"/>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B1"/>
    <mergeCell ref="A2:B2"/>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pane ySplit="5" topLeftCell="A6" activePane="bottomLeft" state="frozen"/>
      <selection pane="bottomLeft" activeCell="B7" sqref="B7"/>
    </sheetView>
  </sheetViews>
  <sheetFormatPr defaultColWidth="14.42578125" defaultRowHeight="15" customHeight="1"/>
  <cols>
    <col min="1" max="1" width="71.28515625" customWidth="1"/>
    <col min="2" max="2" width="14.28515625" customWidth="1"/>
    <col min="3" max="24" width="9.140625" customWidth="1"/>
    <col min="25" max="26" width="8.7109375" customWidth="1"/>
  </cols>
  <sheetData>
    <row r="1" spans="1:26" ht="18.75">
      <c r="A1" s="322" t="str">
        <f>TEXT(Assumptions!A1,1)</f>
        <v>Leman Academy of Excellence</v>
      </c>
      <c r="B1" s="297"/>
      <c r="C1" s="80"/>
      <c r="D1" s="80"/>
      <c r="E1" s="80"/>
      <c r="F1" s="80"/>
      <c r="G1" s="80"/>
      <c r="H1" s="80"/>
      <c r="I1" s="80"/>
      <c r="J1" s="80"/>
      <c r="K1" s="80"/>
      <c r="L1" s="80"/>
      <c r="M1" s="80"/>
      <c r="N1" s="80"/>
      <c r="O1" s="80"/>
      <c r="P1" s="80"/>
      <c r="Q1" s="80"/>
      <c r="R1" s="80"/>
      <c r="S1" s="80"/>
      <c r="T1" s="80"/>
      <c r="U1" s="80"/>
      <c r="V1" s="80"/>
      <c r="W1" s="80"/>
      <c r="X1" s="80"/>
      <c r="Y1" s="80"/>
      <c r="Z1" s="80"/>
    </row>
    <row r="2" spans="1:26" ht="18.75">
      <c r="A2" s="323" t="s">
        <v>338</v>
      </c>
      <c r="B2" s="305"/>
      <c r="C2" s="80"/>
      <c r="D2" s="80"/>
      <c r="E2" s="80"/>
      <c r="F2" s="80"/>
      <c r="G2" s="80"/>
      <c r="H2" s="80"/>
      <c r="I2" s="80"/>
      <c r="J2" s="80"/>
      <c r="K2" s="80"/>
      <c r="L2" s="80"/>
      <c r="M2" s="80"/>
      <c r="N2" s="80"/>
      <c r="O2" s="80"/>
      <c r="P2" s="80"/>
      <c r="Q2" s="80"/>
      <c r="R2" s="80"/>
      <c r="S2" s="80"/>
      <c r="T2" s="80"/>
      <c r="U2" s="80"/>
      <c r="V2" s="80"/>
      <c r="W2" s="80"/>
      <c r="X2" s="80"/>
      <c r="Y2" s="80"/>
      <c r="Z2" s="80"/>
    </row>
    <row r="3" spans="1:26" ht="18.75">
      <c r="A3" s="81" t="s">
        <v>20</v>
      </c>
      <c r="B3" s="82">
        <f>Assumptions!F21</f>
        <v>1013.5</v>
      </c>
      <c r="C3" s="80"/>
      <c r="D3" s="80"/>
      <c r="E3" s="80"/>
      <c r="F3" s="80"/>
      <c r="G3" s="80"/>
      <c r="H3" s="80"/>
      <c r="I3" s="80"/>
      <c r="J3" s="80"/>
      <c r="K3" s="80"/>
      <c r="L3" s="80"/>
      <c r="M3" s="80"/>
      <c r="N3" s="80"/>
      <c r="O3" s="80"/>
      <c r="P3" s="80"/>
      <c r="Q3" s="80"/>
      <c r="R3" s="80"/>
      <c r="S3" s="80"/>
      <c r="T3" s="80"/>
      <c r="U3" s="80"/>
      <c r="V3" s="80"/>
      <c r="W3" s="80"/>
      <c r="X3" s="80"/>
      <c r="Y3" s="80"/>
      <c r="Z3" s="80"/>
    </row>
    <row r="4" spans="1:26">
      <c r="A4" s="81" t="s">
        <v>142</v>
      </c>
      <c r="B4" s="82">
        <f>Assumptions!F22</f>
        <v>1023.5</v>
      </c>
      <c r="C4" s="4"/>
      <c r="D4" s="4"/>
      <c r="E4" s="4"/>
      <c r="F4" s="4"/>
      <c r="G4" s="4"/>
      <c r="H4" s="4"/>
      <c r="I4" s="4"/>
      <c r="J4" s="4"/>
      <c r="K4" s="4"/>
      <c r="L4" s="4"/>
      <c r="M4" s="4"/>
      <c r="N4" s="4"/>
      <c r="O4" s="4"/>
      <c r="P4" s="4"/>
      <c r="Q4" s="4"/>
      <c r="R4" s="4"/>
      <c r="S4" s="4"/>
      <c r="T4" s="4"/>
      <c r="U4" s="4"/>
      <c r="V4" s="4"/>
      <c r="W4" s="4"/>
      <c r="X4" s="4"/>
      <c r="Y4" s="4"/>
      <c r="Z4" s="4"/>
    </row>
    <row r="5" spans="1:26" ht="15.75">
      <c r="A5" s="83"/>
      <c r="B5" s="84" t="s">
        <v>143</v>
      </c>
      <c r="C5" s="4"/>
      <c r="D5" s="4"/>
      <c r="E5" s="4"/>
      <c r="F5" s="4"/>
      <c r="G5" s="4"/>
      <c r="H5" s="4"/>
      <c r="I5" s="4"/>
      <c r="J5" s="4"/>
      <c r="K5" s="4"/>
      <c r="L5" s="4"/>
      <c r="M5" s="4"/>
      <c r="N5" s="4"/>
      <c r="O5" s="4"/>
      <c r="P5" s="4"/>
      <c r="Q5" s="4"/>
      <c r="R5" s="4"/>
      <c r="S5" s="4"/>
      <c r="T5" s="4"/>
      <c r="U5" s="4"/>
      <c r="V5" s="4"/>
      <c r="W5" s="4"/>
      <c r="X5" s="4"/>
      <c r="Y5" s="4"/>
      <c r="Z5" s="4"/>
    </row>
    <row r="6" spans="1:26" ht="18.75">
      <c r="A6" s="324" t="s">
        <v>144</v>
      </c>
      <c r="B6" s="312"/>
      <c r="C6" s="4"/>
      <c r="D6" s="4"/>
      <c r="E6" s="4"/>
      <c r="F6" s="4"/>
      <c r="G6" s="4"/>
      <c r="H6" s="4"/>
      <c r="I6" s="4"/>
      <c r="J6" s="4"/>
      <c r="K6" s="4"/>
      <c r="L6" s="4"/>
      <c r="M6" s="4"/>
      <c r="N6" s="4"/>
      <c r="O6" s="4"/>
      <c r="P6" s="4"/>
      <c r="Q6" s="4"/>
      <c r="R6" s="4"/>
      <c r="S6" s="4"/>
      <c r="T6" s="4"/>
      <c r="U6" s="4"/>
      <c r="V6" s="4"/>
      <c r="W6" s="4"/>
      <c r="X6" s="4"/>
      <c r="Y6" s="4"/>
      <c r="Z6" s="4"/>
    </row>
    <row r="7" spans="1:26">
      <c r="A7" s="85" t="s">
        <v>145</v>
      </c>
      <c r="B7" s="4"/>
      <c r="C7" s="4"/>
      <c r="D7" s="4"/>
      <c r="E7" s="4"/>
      <c r="F7" s="4"/>
      <c r="G7" s="4"/>
      <c r="H7" s="4"/>
      <c r="I7" s="4"/>
      <c r="J7" s="4"/>
      <c r="K7" s="4"/>
      <c r="L7" s="4"/>
      <c r="M7" s="4"/>
      <c r="N7" s="4"/>
      <c r="O7" s="4"/>
      <c r="P7" s="4"/>
      <c r="Q7" s="4"/>
      <c r="R7" s="4"/>
      <c r="S7" s="4"/>
      <c r="T7" s="4"/>
      <c r="U7" s="4"/>
      <c r="V7" s="4"/>
      <c r="W7" s="4"/>
      <c r="X7" s="4"/>
      <c r="Y7" s="4"/>
      <c r="Z7" s="4"/>
    </row>
    <row r="8" spans="1:26">
      <c r="A8" s="87" t="s">
        <v>146</v>
      </c>
      <c r="B8" s="88">
        <f>ROUND(Assumptions!F28*Assumptions!F21,0)</f>
        <v>505566</v>
      </c>
      <c r="C8" s="4"/>
      <c r="D8" s="4"/>
      <c r="E8" s="4"/>
      <c r="F8" s="4"/>
      <c r="G8" s="4"/>
      <c r="H8" s="4"/>
      <c r="I8" s="4"/>
      <c r="J8" s="4"/>
      <c r="K8" s="4"/>
      <c r="L8" s="4"/>
      <c r="M8" s="4"/>
      <c r="N8" s="4"/>
      <c r="O8" s="4"/>
      <c r="P8" s="4"/>
      <c r="Q8" s="4"/>
      <c r="R8" s="4"/>
      <c r="S8" s="4"/>
      <c r="T8" s="4"/>
      <c r="U8" s="4"/>
      <c r="V8" s="4"/>
      <c r="W8" s="4"/>
      <c r="X8" s="4"/>
      <c r="Y8" s="4"/>
      <c r="Z8" s="4"/>
    </row>
    <row r="9" spans="1:26">
      <c r="A9" s="87" t="s">
        <v>147</v>
      </c>
      <c r="B9" s="88">
        <f>Assumptions!F29</f>
        <v>262500</v>
      </c>
      <c r="C9" s="4"/>
      <c r="D9" s="4"/>
      <c r="E9" s="4"/>
      <c r="F9" s="4"/>
      <c r="G9" s="4"/>
      <c r="H9" s="4"/>
      <c r="I9" s="4"/>
      <c r="J9" s="4"/>
      <c r="K9" s="4"/>
      <c r="L9" s="4"/>
      <c r="M9" s="4"/>
      <c r="N9" s="4"/>
      <c r="O9" s="4"/>
      <c r="P9" s="4"/>
      <c r="Q9" s="4"/>
      <c r="R9" s="4"/>
      <c r="S9" s="4"/>
      <c r="T9" s="4"/>
      <c r="U9" s="4"/>
      <c r="V9" s="4"/>
      <c r="W9" s="4"/>
      <c r="X9" s="4"/>
      <c r="Y9" s="4"/>
      <c r="Z9" s="4"/>
    </row>
    <row r="10" spans="1:26">
      <c r="A10" s="87" t="s">
        <v>148</v>
      </c>
      <c r="B10" s="88">
        <f>Assumptions!F31</f>
        <v>0</v>
      </c>
      <c r="C10" s="4"/>
      <c r="D10" s="4"/>
      <c r="E10" s="4"/>
      <c r="F10" s="4"/>
      <c r="G10" s="4"/>
      <c r="H10" s="4"/>
      <c r="I10" s="4"/>
      <c r="J10" s="4"/>
      <c r="K10" s="4"/>
      <c r="L10" s="4"/>
      <c r="M10" s="4"/>
      <c r="N10" s="4"/>
      <c r="O10" s="4"/>
      <c r="P10" s="4"/>
      <c r="Q10" s="4"/>
      <c r="R10" s="4"/>
      <c r="S10" s="4"/>
      <c r="T10" s="4"/>
      <c r="U10" s="4"/>
      <c r="V10" s="4"/>
      <c r="W10" s="4"/>
      <c r="X10" s="4"/>
      <c r="Y10" s="4"/>
      <c r="Z10" s="4"/>
    </row>
    <row r="11" spans="1:26">
      <c r="A11" s="87" t="s">
        <v>149</v>
      </c>
      <c r="B11" s="88">
        <f>Assumptions!F30</f>
        <v>0</v>
      </c>
      <c r="C11" s="4"/>
      <c r="D11" s="4"/>
      <c r="E11" s="4"/>
      <c r="F11" s="4"/>
      <c r="G11" s="4"/>
      <c r="H11" s="4"/>
      <c r="I11" s="4"/>
      <c r="J11" s="4"/>
      <c r="K11" s="4"/>
      <c r="L11" s="4"/>
      <c r="M11" s="4"/>
      <c r="N11" s="4"/>
      <c r="O11" s="4"/>
      <c r="P11" s="4"/>
      <c r="Q11" s="4"/>
      <c r="R11" s="4"/>
      <c r="S11" s="4"/>
      <c r="T11" s="4"/>
      <c r="U11" s="4"/>
      <c r="V11" s="4"/>
      <c r="W11" s="4"/>
      <c r="X11" s="4"/>
      <c r="Y11" s="4"/>
      <c r="Z11" s="4"/>
    </row>
    <row r="12" spans="1:26">
      <c r="A12" s="87" t="s">
        <v>150</v>
      </c>
      <c r="B12" s="88">
        <f>Assumptions!F33</f>
        <v>242100</v>
      </c>
      <c r="C12" s="4"/>
      <c r="D12" s="4"/>
      <c r="E12" s="4"/>
      <c r="F12" s="4"/>
      <c r="G12" s="4"/>
      <c r="H12" s="4"/>
      <c r="I12" s="4"/>
      <c r="J12" s="4"/>
      <c r="K12" s="4"/>
      <c r="L12" s="4"/>
      <c r="M12" s="4"/>
      <c r="N12" s="4"/>
      <c r="O12" s="4"/>
      <c r="P12" s="4"/>
      <c r="Q12" s="4"/>
      <c r="R12" s="4"/>
      <c r="S12" s="4"/>
      <c r="T12" s="4"/>
      <c r="U12" s="4"/>
      <c r="V12" s="4"/>
      <c r="W12" s="4"/>
      <c r="X12" s="4"/>
      <c r="Y12" s="4"/>
      <c r="Z12" s="4"/>
    </row>
    <row r="13" spans="1:26">
      <c r="A13" s="87" t="s">
        <v>151</v>
      </c>
      <c r="B13" s="88">
        <f>Assumptions!F32</f>
        <v>182430</v>
      </c>
      <c r="C13" s="4"/>
      <c r="D13" s="4"/>
      <c r="E13" s="4"/>
      <c r="F13" s="4"/>
      <c r="G13" s="4"/>
      <c r="H13" s="4"/>
      <c r="I13" s="4"/>
      <c r="J13" s="4"/>
      <c r="K13" s="4"/>
      <c r="L13" s="4"/>
      <c r="M13" s="4"/>
      <c r="N13" s="4"/>
      <c r="O13" s="4"/>
      <c r="P13" s="4"/>
      <c r="Q13" s="4"/>
      <c r="R13" s="4"/>
      <c r="S13" s="4"/>
      <c r="T13" s="4"/>
      <c r="U13" s="4"/>
      <c r="V13" s="4"/>
      <c r="W13" s="4"/>
      <c r="X13" s="4"/>
      <c r="Y13" s="4"/>
      <c r="Z13" s="4"/>
    </row>
    <row r="14" spans="1:26">
      <c r="A14" s="87" t="s">
        <v>152</v>
      </c>
      <c r="B14" s="88">
        <f>Assumptions!F35</f>
        <v>0</v>
      </c>
      <c r="C14" s="4"/>
      <c r="D14" s="4"/>
      <c r="E14" s="4"/>
      <c r="F14" s="4"/>
      <c r="G14" s="4"/>
      <c r="H14" s="4"/>
      <c r="I14" s="4"/>
      <c r="J14" s="4"/>
      <c r="K14" s="4"/>
      <c r="L14" s="4"/>
      <c r="M14" s="4"/>
      <c r="N14" s="4"/>
      <c r="O14" s="4"/>
      <c r="P14" s="4"/>
      <c r="Q14" s="4"/>
      <c r="R14" s="4"/>
      <c r="S14" s="4"/>
      <c r="T14" s="4"/>
      <c r="U14" s="4"/>
      <c r="V14" s="4"/>
      <c r="W14" s="4"/>
      <c r="X14" s="4"/>
      <c r="Y14" s="4"/>
      <c r="Z14" s="4"/>
    </row>
    <row r="15" spans="1:26">
      <c r="A15" s="87" t="s">
        <v>153</v>
      </c>
      <c r="B15" s="89">
        <f>Assumptions!F34</f>
        <v>0</v>
      </c>
      <c r="C15" s="4"/>
      <c r="D15" s="4"/>
      <c r="E15" s="4"/>
      <c r="F15" s="4"/>
      <c r="G15" s="4"/>
      <c r="H15" s="4"/>
      <c r="I15" s="4"/>
      <c r="J15" s="4"/>
      <c r="K15" s="4"/>
      <c r="L15" s="4"/>
      <c r="M15" s="4"/>
      <c r="N15" s="4"/>
      <c r="O15" s="4"/>
      <c r="P15" s="4"/>
      <c r="Q15" s="4"/>
      <c r="R15" s="4"/>
      <c r="S15" s="4"/>
      <c r="T15" s="4"/>
      <c r="U15" s="4"/>
      <c r="V15" s="4"/>
      <c r="W15" s="4"/>
      <c r="X15" s="4"/>
      <c r="Y15" s="4"/>
      <c r="Z15" s="4"/>
    </row>
    <row r="16" spans="1:26">
      <c r="A16" s="85" t="s">
        <v>154</v>
      </c>
      <c r="B16" s="90">
        <f>SUM(B8:B15)</f>
        <v>1192596</v>
      </c>
      <c r="C16" s="4"/>
      <c r="D16" s="4"/>
      <c r="E16" s="4"/>
      <c r="F16" s="4"/>
      <c r="G16" s="4"/>
      <c r="H16" s="4"/>
      <c r="I16" s="4"/>
      <c r="J16" s="4"/>
      <c r="K16" s="4"/>
      <c r="L16" s="4"/>
      <c r="M16" s="4"/>
      <c r="N16" s="4"/>
      <c r="O16" s="4"/>
      <c r="P16" s="4"/>
      <c r="Q16" s="4"/>
      <c r="R16" s="4"/>
      <c r="S16" s="4"/>
      <c r="T16" s="4"/>
      <c r="U16" s="4"/>
      <c r="V16" s="4"/>
      <c r="W16" s="4"/>
      <c r="X16" s="4"/>
      <c r="Y16" s="4"/>
      <c r="Z16" s="4"/>
    </row>
    <row r="17" spans="1:26">
      <c r="A17" s="87"/>
      <c r="B17" s="88"/>
      <c r="C17" s="4"/>
      <c r="D17" s="4"/>
      <c r="E17" s="4"/>
      <c r="F17" s="4"/>
      <c r="G17" s="4"/>
      <c r="H17" s="4"/>
      <c r="I17" s="4"/>
      <c r="J17" s="4"/>
      <c r="K17" s="4"/>
      <c r="L17" s="4"/>
      <c r="M17" s="4"/>
      <c r="N17" s="4"/>
      <c r="O17" s="4"/>
      <c r="P17" s="4"/>
      <c r="Q17" s="4"/>
      <c r="R17" s="4"/>
      <c r="S17" s="4"/>
      <c r="T17" s="4"/>
      <c r="U17" s="4"/>
      <c r="V17" s="4"/>
      <c r="W17" s="4"/>
      <c r="X17" s="4"/>
      <c r="Y17" s="4"/>
      <c r="Z17" s="4"/>
    </row>
    <row r="18" spans="1:26">
      <c r="A18" s="85" t="s">
        <v>155</v>
      </c>
      <c r="B18" s="88"/>
      <c r="C18" s="4"/>
      <c r="D18" s="4"/>
      <c r="E18" s="4"/>
      <c r="F18" s="4"/>
      <c r="G18" s="4"/>
      <c r="H18" s="4"/>
      <c r="I18" s="4"/>
      <c r="J18" s="4"/>
      <c r="K18" s="4"/>
      <c r="L18" s="4"/>
      <c r="M18" s="4"/>
      <c r="N18" s="4"/>
      <c r="O18" s="4"/>
      <c r="P18" s="4"/>
      <c r="Q18" s="4"/>
      <c r="R18" s="4"/>
      <c r="S18" s="4"/>
      <c r="T18" s="4"/>
      <c r="U18" s="4"/>
      <c r="V18" s="4"/>
      <c r="W18" s="4"/>
      <c r="X18" s="4"/>
      <c r="Y18" s="4"/>
      <c r="Z18" s="4"/>
    </row>
    <row r="19" spans="1:26">
      <c r="A19" s="87" t="s">
        <v>156</v>
      </c>
      <c r="B19" s="88">
        <f>ROUND(Assumptions!F27*Assumptions!F22,0)</f>
        <v>7970142</v>
      </c>
      <c r="C19" s="4"/>
      <c r="D19" s="4"/>
      <c r="E19" s="4"/>
      <c r="F19" s="4"/>
      <c r="G19" s="4"/>
      <c r="H19" s="4"/>
      <c r="I19" s="4"/>
      <c r="J19" s="4"/>
      <c r="K19" s="4"/>
      <c r="L19" s="4"/>
      <c r="M19" s="4"/>
      <c r="N19" s="4"/>
      <c r="O19" s="4"/>
      <c r="P19" s="4"/>
      <c r="Q19" s="4"/>
      <c r="R19" s="4"/>
      <c r="S19" s="4"/>
      <c r="T19" s="4"/>
      <c r="U19" s="4"/>
      <c r="V19" s="4"/>
      <c r="W19" s="4"/>
      <c r="X19" s="4"/>
      <c r="Y19" s="4"/>
      <c r="Z19" s="4"/>
    </row>
    <row r="20" spans="1:26">
      <c r="A20" s="87" t="s">
        <v>157</v>
      </c>
      <c r="B20" s="88">
        <f>ROUND(Assumptions!F36*Assumptions!F21,0)</f>
        <v>177363</v>
      </c>
      <c r="C20" s="4"/>
      <c r="D20" s="4"/>
      <c r="E20" s="4"/>
      <c r="F20" s="4"/>
      <c r="G20" s="4"/>
      <c r="H20" s="4"/>
      <c r="I20" s="4"/>
      <c r="J20" s="4"/>
      <c r="K20" s="4"/>
      <c r="L20" s="4"/>
      <c r="M20" s="4"/>
      <c r="N20" s="4"/>
      <c r="O20" s="4"/>
      <c r="P20" s="4"/>
      <c r="Q20" s="4"/>
      <c r="R20" s="4"/>
      <c r="S20" s="4"/>
      <c r="T20" s="4"/>
      <c r="U20" s="4"/>
      <c r="V20" s="4"/>
      <c r="W20" s="4"/>
      <c r="X20" s="4"/>
      <c r="Y20" s="4"/>
      <c r="Z20" s="4"/>
    </row>
    <row r="21" spans="1:26">
      <c r="A21" s="87" t="s">
        <v>158</v>
      </c>
      <c r="B21" s="89">
        <f>Assumptions!F38</f>
        <v>0</v>
      </c>
      <c r="C21" s="4"/>
      <c r="D21" s="4"/>
      <c r="E21" s="4"/>
      <c r="F21" s="4"/>
      <c r="G21" s="4"/>
      <c r="H21" s="4"/>
      <c r="I21" s="4"/>
      <c r="J21" s="4"/>
      <c r="K21" s="4"/>
      <c r="L21" s="4"/>
      <c r="M21" s="4"/>
      <c r="N21" s="4"/>
      <c r="O21" s="4"/>
      <c r="P21" s="4"/>
      <c r="Q21" s="4"/>
      <c r="R21" s="4"/>
      <c r="S21" s="4"/>
      <c r="T21" s="4"/>
      <c r="U21" s="4"/>
      <c r="V21" s="4"/>
      <c r="W21" s="4"/>
      <c r="X21" s="4"/>
      <c r="Y21" s="4"/>
      <c r="Z21" s="4"/>
    </row>
    <row r="22" spans="1:26">
      <c r="A22" s="85" t="s">
        <v>159</v>
      </c>
      <c r="B22" s="90">
        <f>SUM(B19:B21)</f>
        <v>8147505</v>
      </c>
      <c r="C22" s="4"/>
      <c r="D22" s="4"/>
      <c r="E22" s="4"/>
      <c r="F22" s="4"/>
      <c r="G22" s="4"/>
      <c r="H22" s="4"/>
      <c r="I22" s="4"/>
      <c r="J22" s="4"/>
      <c r="K22" s="4"/>
      <c r="L22" s="4"/>
      <c r="M22" s="4"/>
      <c r="N22" s="4"/>
      <c r="O22" s="4"/>
      <c r="P22" s="4"/>
      <c r="Q22" s="4"/>
      <c r="R22" s="4"/>
      <c r="S22" s="4"/>
      <c r="T22" s="4"/>
      <c r="U22" s="4"/>
      <c r="V22" s="4"/>
      <c r="W22" s="4"/>
      <c r="X22" s="4"/>
      <c r="Y22" s="4"/>
      <c r="Z22" s="4"/>
    </row>
    <row r="23" spans="1:26">
      <c r="A23" s="87"/>
      <c r="B23" s="88"/>
      <c r="C23" s="4"/>
      <c r="D23" s="4"/>
      <c r="E23" s="4"/>
      <c r="F23" s="4"/>
      <c r="G23" s="4"/>
      <c r="H23" s="4"/>
      <c r="I23" s="4"/>
      <c r="J23" s="4"/>
      <c r="K23" s="4"/>
      <c r="L23" s="4"/>
      <c r="M23" s="4"/>
      <c r="N23" s="4"/>
      <c r="O23" s="4"/>
      <c r="P23" s="4"/>
      <c r="Q23" s="4"/>
      <c r="R23" s="4"/>
      <c r="S23" s="4"/>
      <c r="T23" s="4"/>
      <c r="U23" s="4"/>
      <c r="V23" s="4"/>
      <c r="W23" s="4"/>
      <c r="X23" s="4"/>
      <c r="Y23" s="4"/>
      <c r="Z23" s="4"/>
    </row>
    <row r="24" spans="1:26">
      <c r="A24" s="85" t="s">
        <v>160</v>
      </c>
      <c r="B24" s="88"/>
      <c r="C24" s="4"/>
      <c r="D24" s="4"/>
      <c r="E24" s="4"/>
      <c r="F24" s="4"/>
      <c r="G24" s="4"/>
      <c r="H24" s="4"/>
      <c r="I24" s="4"/>
      <c r="J24" s="4"/>
      <c r="K24" s="4"/>
      <c r="L24" s="4"/>
      <c r="M24" s="4"/>
      <c r="N24" s="4"/>
      <c r="O24" s="4"/>
      <c r="P24" s="4"/>
      <c r="Q24" s="4"/>
      <c r="R24" s="4"/>
      <c r="S24" s="4"/>
      <c r="T24" s="4"/>
      <c r="U24" s="4"/>
      <c r="V24" s="4"/>
      <c r="W24" s="4"/>
      <c r="X24" s="4"/>
      <c r="Y24" s="4"/>
      <c r="Z24" s="4"/>
    </row>
    <row r="25" spans="1:26">
      <c r="A25" s="87" t="s">
        <v>161</v>
      </c>
      <c r="B25" s="89">
        <f>Assumptions!F37</f>
        <v>0</v>
      </c>
      <c r="C25" s="4"/>
      <c r="D25" s="4"/>
      <c r="E25" s="4"/>
      <c r="F25" s="4"/>
      <c r="G25" s="4"/>
      <c r="H25" s="4"/>
      <c r="I25" s="4"/>
      <c r="J25" s="4"/>
      <c r="K25" s="4"/>
      <c r="L25" s="4"/>
      <c r="M25" s="4"/>
      <c r="N25" s="4"/>
      <c r="O25" s="4"/>
      <c r="P25" s="4"/>
      <c r="Q25" s="4"/>
      <c r="R25" s="4"/>
      <c r="S25" s="4"/>
      <c r="T25" s="4"/>
      <c r="U25" s="4"/>
      <c r="V25" s="4"/>
      <c r="W25" s="4"/>
      <c r="X25" s="4"/>
      <c r="Y25" s="4"/>
      <c r="Z25" s="4"/>
    </row>
    <row r="26" spans="1:26">
      <c r="A26" s="85" t="s">
        <v>162</v>
      </c>
      <c r="B26" s="90">
        <f>SUM(B25)</f>
        <v>0</v>
      </c>
      <c r="C26" s="4"/>
      <c r="D26" s="4"/>
      <c r="E26" s="4"/>
      <c r="F26" s="4"/>
      <c r="G26" s="4"/>
      <c r="H26" s="4"/>
      <c r="I26" s="4"/>
      <c r="J26" s="4"/>
      <c r="K26" s="4"/>
      <c r="L26" s="4"/>
      <c r="M26" s="4"/>
      <c r="N26" s="4"/>
      <c r="O26" s="4"/>
      <c r="P26" s="4"/>
      <c r="Q26" s="4"/>
      <c r="R26" s="4"/>
      <c r="S26" s="4"/>
      <c r="T26" s="4"/>
      <c r="U26" s="4"/>
      <c r="V26" s="4"/>
      <c r="W26" s="4"/>
      <c r="X26" s="4"/>
      <c r="Y26" s="4"/>
      <c r="Z26" s="4"/>
    </row>
    <row r="27" spans="1:26">
      <c r="A27" s="85"/>
      <c r="B27" s="90"/>
      <c r="C27" s="4"/>
      <c r="D27" s="4"/>
      <c r="E27" s="4"/>
      <c r="F27" s="4"/>
      <c r="G27" s="4"/>
      <c r="H27" s="4"/>
      <c r="I27" s="4"/>
      <c r="J27" s="4"/>
      <c r="K27" s="4"/>
      <c r="L27" s="4"/>
      <c r="M27" s="4"/>
      <c r="N27" s="4"/>
      <c r="O27" s="4"/>
      <c r="P27" s="4"/>
      <c r="Q27" s="4"/>
      <c r="R27" s="4"/>
      <c r="S27" s="4"/>
      <c r="T27" s="4"/>
      <c r="U27" s="4"/>
      <c r="V27" s="4"/>
      <c r="W27" s="4"/>
      <c r="X27" s="4"/>
      <c r="Y27" s="4"/>
      <c r="Z27" s="4"/>
    </row>
    <row r="28" spans="1:26" ht="15.75">
      <c r="A28" s="91" t="s">
        <v>163</v>
      </c>
      <c r="B28" s="92">
        <f>SUM(B16,B22,B26)</f>
        <v>9340101</v>
      </c>
      <c r="C28" s="4"/>
      <c r="D28" s="4"/>
      <c r="E28" s="4"/>
      <c r="F28" s="4"/>
      <c r="G28" s="4"/>
      <c r="H28" s="4"/>
      <c r="I28" s="4"/>
      <c r="J28" s="4"/>
      <c r="K28" s="4"/>
      <c r="L28" s="4"/>
      <c r="M28" s="4"/>
      <c r="N28" s="4"/>
      <c r="O28" s="4"/>
      <c r="P28" s="4"/>
      <c r="Q28" s="4"/>
      <c r="R28" s="4"/>
      <c r="S28" s="4"/>
      <c r="T28" s="4"/>
      <c r="U28" s="4"/>
      <c r="V28" s="4"/>
      <c r="W28" s="93">
        <f>(Assumptions!F27*Assumptions!F22+Assumptions!F28*Assumptions!F21+Assumptions!F36*Assumptions!F22+Assumptions!F29+Assumptions!F30+Assumptions!F31+Assumptions!F32+Assumptions!F33+Assumptions!F34+Assumptions!F35+Assumptions!F37+Assumptions!F38)-'Year 0'!$B$28</f>
        <v>9341850.6839039996</v>
      </c>
      <c r="X28" s="4" t="s">
        <v>164</v>
      </c>
      <c r="Y28" s="4"/>
      <c r="Z28" s="4"/>
    </row>
    <row r="29" spans="1:26">
      <c r="A29" s="4"/>
      <c r="B29" s="88"/>
      <c r="C29" s="4"/>
      <c r="D29" s="4"/>
      <c r="E29" s="4"/>
      <c r="F29" s="4"/>
      <c r="G29" s="4"/>
      <c r="H29" s="4"/>
      <c r="I29" s="4"/>
      <c r="J29" s="4"/>
      <c r="K29" s="4"/>
      <c r="L29" s="4"/>
      <c r="M29" s="4"/>
      <c r="N29" s="4"/>
      <c r="O29" s="4"/>
      <c r="P29" s="4"/>
      <c r="Q29" s="4"/>
      <c r="R29" s="4"/>
      <c r="S29" s="4"/>
      <c r="T29" s="4"/>
      <c r="U29" s="4"/>
      <c r="V29" s="4"/>
      <c r="W29" s="4"/>
      <c r="X29" s="4"/>
      <c r="Y29" s="4"/>
      <c r="Z29" s="4"/>
    </row>
    <row r="30" spans="1:26" ht="18.75">
      <c r="A30" s="94" t="s">
        <v>165</v>
      </c>
      <c r="B30" s="95"/>
      <c r="C30" s="4"/>
      <c r="D30" s="4"/>
      <c r="E30" s="4"/>
      <c r="F30" s="4"/>
      <c r="G30" s="4"/>
      <c r="H30" s="4"/>
      <c r="I30" s="4"/>
      <c r="J30" s="4"/>
      <c r="K30" s="4"/>
      <c r="L30" s="4"/>
      <c r="M30" s="4"/>
      <c r="N30" s="4"/>
      <c r="O30" s="4"/>
      <c r="P30" s="4"/>
      <c r="Q30" s="4"/>
      <c r="R30" s="4"/>
      <c r="S30" s="4"/>
      <c r="T30" s="4"/>
      <c r="U30" s="4"/>
      <c r="V30" s="4"/>
      <c r="W30" s="4"/>
      <c r="X30" s="4"/>
      <c r="Y30" s="4"/>
      <c r="Z30" s="4"/>
    </row>
    <row r="31" spans="1:26">
      <c r="A31" s="85" t="s">
        <v>166</v>
      </c>
      <c r="B31" s="88"/>
      <c r="C31" s="4"/>
      <c r="D31" s="4"/>
      <c r="E31" s="4"/>
      <c r="F31" s="4"/>
      <c r="G31" s="4"/>
      <c r="H31" s="4"/>
      <c r="I31" s="4"/>
      <c r="J31" s="4"/>
      <c r="K31" s="4"/>
      <c r="L31" s="4"/>
      <c r="M31" s="4"/>
      <c r="N31" s="4"/>
      <c r="O31" s="4"/>
      <c r="P31" s="4"/>
      <c r="Q31" s="4"/>
      <c r="R31" s="4"/>
      <c r="S31" s="4"/>
      <c r="T31" s="4"/>
      <c r="U31" s="4"/>
      <c r="V31" s="4"/>
      <c r="W31" s="4"/>
      <c r="X31" s="4"/>
      <c r="Y31" s="4"/>
      <c r="Z31" s="4"/>
    </row>
    <row r="32" spans="1:26">
      <c r="A32" s="87" t="s">
        <v>167</v>
      </c>
      <c r="B32" s="88">
        <f>Assumptions!F41</f>
        <v>2584041.48</v>
      </c>
      <c r="C32" s="4"/>
      <c r="D32" s="4"/>
      <c r="E32" s="4"/>
      <c r="F32" s="4"/>
      <c r="G32" s="4"/>
      <c r="H32" s="4"/>
      <c r="I32" s="4"/>
      <c r="J32" s="4"/>
      <c r="K32" s="4"/>
      <c r="L32" s="4"/>
      <c r="M32" s="4"/>
      <c r="N32" s="4"/>
      <c r="O32" s="4"/>
      <c r="P32" s="4"/>
      <c r="Q32" s="4"/>
      <c r="R32" s="4"/>
      <c r="S32" s="4"/>
      <c r="T32" s="4"/>
      <c r="U32" s="4"/>
      <c r="V32" s="4"/>
      <c r="W32" s="4"/>
      <c r="X32" s="4"/>
      <c r="Y32" s="4"/>
      <c r="Z32" s="4"/>
    </row>
    <row r="33" spans="1:26">
      <c r="A33" s="87" t="s">
        <v>168</v>
      </c>
      <c r="B33" s="89">
        <f>Assumptions!F42</f>
        <v>164487.24</v>
      </c>
      <c r="C33" s="4"/>
      <c r="D33" s="4"/>
      <c r="E33" s="4"/>
      <c r="F33" s="4"/>
      <c r="G33" s="4"/>
      <c r="H33" s="4"/>
      <c r="I33" s="4"/>
      <c r="J33" s="4"/>
      <c r="K33" s="4"/>
      <c r="L33" s="4"/>
      <c r="M33" s="4"/>
      <c r="N33" s="4"/>
      <c r="O33" s="4"/>
      <c r="P33" s="4"/>
      <c r="Q33" s="4"/>
      <c r="R33" s="4"/>
      <c r="S33" s="4"/>
      <c r="T33" s="4"/>
      <c r="U33" s="4"/>
      <c r="V33" s="4"/>
      <c r="W33" s="4"/>
      <c r="X33" s="4"/>
      <c r="Y33" s="4"/>
      <c r="Z33" s="4"/>
    </row>
    <row r="34" spans="1:26">
      <c r="A34" s="85" t="s">
        <v>169</v>
      </c>
      <c r="B34" s="90">
        <f>SUM(B32:B33)</f>
        <v>2748528.7199999997</v>
      </c>
      <c r="C34" s="4"/>
      <c r="D34" s="4"/>
      <c r="E34" s="4"/>
      <c r="F34" s="4"/>
      <c r="G34" s="4"/>
      <c r="H34" s="4"/>
      <c r="I34" s="4"/>
      <c r="J34" s="4"/>
      <c r="K34" s="4"/>
      <c r="L34" s="4"/>
      <c r="M34" s="4"/>
      <c r="N34" s="4"/>
      <c r="O34" s="4"/>
      <c r="P34" s="4"/>
      <c r="Q34" s="4"/>
      <c r="R34" s="4"/>
      <c r="S34" s="4"/>
      <c r="T34" s="4"/>
      <c r="U34" s="4"/>
      <c r="V34" s="4"/>
      <c r="W34" s="4"/>
      <c r="X34" s="4"/>
      <c r="Y34" s="4"/>
      <c r="Z34" s="4"/>
    </row>
    <row r="35" spans="1:26">
      <c r="A35" s="85" t="s">
        <v>170</v>
      </c>
      <c r="B35" s="88"/>
      <c r="C35" s="4"/>
      <c r="D35" s="4"/>
      <c r="E35" s="4"/>
      <c r="F35" s="4"/>
      <c r="G35" s="4"/>
      <c r="H35" s="4"/>
      <c r="I35" s="4"/>
      <c r="J35" s="4"/>
      <c r="K35" s="4"/>
      <c r="L35" s="4"/>
      <c r="M35" s="4"/>
      <c r="N35" s="4"/>
      <c r="O35" s="4"/>
      <c r="P35" s="4"/>
      <c r="Q35" s="4"/>
      <c r="R35" s="4"/>
      <c r="S35" s="4"/>
      <c r="T35" s="4"/>
      <c r="U35" s="4"/>
      <c r="V35" s="4"/>
      <c r="W35" s="4"/>
      <c r="X35" s="4"/>
      <c r="Y35" s="4"/>
      <c r="Z35" s="4"/>
    </row>
    <row r="36" spans="1:26">
      <c r="A36" s="87" t="s">
        <v>9</v>
      </c>
      <c r="B36" s="88">
        <f>Assumptions!F46</f>
        <v>379589.93999999994</v>
      </c>
      <c r="C36" s="4"/>
      <c r="D36" s="4"/>
      <c r="E36" s="4"/>
      <c r="F36" s="4"/>
      <c r="G36" s="4"/>
      <c r="H36" s="4"/>
      <c r="I36" s="4"/>
      <c r="J36" s="4"/>
      <c r="K36" s="4"/>
      <c r="L36" s="4"/>
      <c r="M36" s="4"/>
      <c r="N36" s="4"/>
      <c r="O36" s="4"/>
      <c r="P36" s="4"/>
      <c r="Q36" s="4"/>
      <c r="R36" s="4"/>
      <c r="S36" s="4"/>
      <c r="T36" s="4"/>
      <c r="U36" s="4"/>
      <c r="V36" s="4"/>
      <c r="W36" s="4"/>
      <c r="X36" s="4"/>
      <c r="Y36" s="4"/>
      <c r="Z36" s="4"/>
    </row>
    <row r="37" spans="1:26">
      <c r="A37" s="87" t="s">
        <v>171</v>
      </c>
      <c r="B37" s="88">
        <f>Assumptions!F47</f>
        <v>0</v>
      </c>
      <c r="C37" s="4"/>
      <c r="D37" s="4"/>
      <c r="E37" s="4"/>
      <c r="F37" s="4"/>
      <c r="G37" s="4"/>
      <c r="H37" s="4"/>
      <c r="I37" s="4"/>
      <c r="J37" s="4"/>
      <c r="K37" s="4"/>
      <c r="L37" s="4"/>
      <c r="M37" s="4"/>
      <c r="N37" s="4"/>
      <c r="O37" s="4"/>
      <c r="P37" s="4"/>
      <c r="Q37" s="4"/>
      <c r="R37" s="4"/>
      <c r="S37" s="4"/>
      <c r="T37" s="4"/>
      <c r="U37" s="4"/>
      <c r="V37" s="4"/>
      <c r="W37" s="4"/>
      <c r="X37" s="4"/>
      <c r="Y37" s="4"/>
      <c r="Z37" s="4"/>
    </row>
    <row r="38" spans="1:26">
      <c r="A38" s="87" t="s">
        <v>172</v>
      </c>
      <c r="B38" s="88">
        <f>Assumptions!F48</f>
        <v>91325.903999999995</v>
      </c>
      <c r="C38" s="4"/>
      <c r="D38" s="4"/>
      <c r="E38" s="4"/>
      <c r="F38" s="4"/>
      <c r="G38" s="4"/>
      <c r="H38" s="4"/>
      <c r="I38" s="4"/>
      <c r="J38" s="4"/>
      <c r="K38" s="4"/>
      <c r="L38" s="4"/>
      <c r="M38" s="4"/>
      <c r="N38" s="4"/>
      <c r="O38" s="4"/>
      <c r="P38" s="4"/>
      <c r="Q38" s="4"/>
      <c r="R38" s="4"/>
      <c r="S38" s="4"/>
      <c r="T38" s="4"/>
      <c r="U38" s="4"/>
      <c r="V38" s="4"/>
      <c r="W38" s="4"/>
      <c r="X38" s="4"/>
      <c r="Y38" s="4"/>
      <c r="Z38" s="4"/>
    </row>
    <row r="39" spans="1:26">
      <c r="A39" s="87" t="s">
        <v>173</v>
      </c>
      <c r="B39" s="89">
        <f>Assumptions!F49</f>
        <v>351769.22784000007</v>
      </c>
      <c r="C39" s="4"/>
      <c r="D39" s="4"/>
      <c r="E39" s="4"/>
      <c r="F39" s="4"/>
      <c r="G39" s="4"/>
      <c r="H39" s="4"/>
      <c r="I39" s="4"/>
      <c r="J39" s="4"/>
      <c r="K39" s="4"/>
      <c r="L39" s="4"/>
      <c r="M39" s="4"/>
      <c r="N39" s="4"/>
      <c r="O39" s="4"/>
      <c r="P39" s="4"/>
      <c r="Q39" s="4"/>
      <c r="R39" s="4"/>
      <c r="S39" s="4"/>
      <c r="T39" s="4"/>
      <c r="U39" s="4"/>
      <c r="V39" s="4"/>
      <c r="W39" s="4"/>
      <c r="X39" s="4"/>
      <c r="Y39" s="4"/>
      <c r="Z39" s="4"/>
    </row>
    <row r="40" spans="1:26">
      <c r="A40" s="85" t="s">
        <v>174</v>
      </c>
      <c r="B40" s="90">
        <f>SUM(B36:B39)</f>
        <v>822685.07183999999</v>
      </c>
      <c r="C40" s="4"/>
      <c r="D40" s="4"/>
      <c r="E40" s="4"/>
      <c r="F40" s="4"/>
      <c r="G40" s="4"/>
      <c r="H40" s="4"/>
      <c r="I40" s="4"/>
      <c r="J40" s="4"/>
      <c r="K40" s="4"/>
      <c r="L40" s="4"/>
      <c r="M40" s="4"/>
      <c r="N40" s="4"/>
      <c r="O40" s="4"/>
      <c r="P40" s="4"/>
      <c r="Q40" s="4"/>
      <c r="R40" s="4"/>
      <c r="S40" s="4"/>
      <c r="T40" s="4"/>
      <c r="U40" s="4"/>
      <c r="V40" s="4"/>
      <c r="W40" s="4"/>
      <c r="X40" s="4"/>
      <c r="Y40" s="4"/>
      <c r="Z40" s="4"/>
    </row>
    <row r="41" spans="1:26">
      <c r="A41" s="85" t="s">
        <v>175</v>
      </c>
      <c r="B41" s="90"/>
      <c r="C41" s="4"/>
      <c r="D41" s="4"/>
      <c r="E41" s="4"/>
      <c r="F41" s="4"/>
      <c r="G41" s="4"/>
      <c r="H41" s="4"/>
      <c r="I41" s="4"/>
      <c r="J41" s="4"/>
      <c r="K41" s="4"/>
      <c r="L41" s="4"/>
      <c r="M41" s="4"/>
      <c r="N41" s="4"/>
      <c r="O41" s="4"/>
      <c r="P41" s="4"/>
      <c r="Q41" s="4"/>
      <c r="R41" s="4"/>
      <c r="S41" s="4"/>
      <c r="T41" s="4"/>
      <c r="U41" s="4"/>
      <c r="V41" s="4"/>
      <c r="W41" s="4"/>
      <c r="X41" s="4"/>
      <c r="Y41" s="4"/>
      <c r="Z41" s="4"/>
    </row>
    <row r="42" spans="1:26">
      <c r="A42" s="87" t="s">
        <v>176</v>
      </c>
      <c r="B42" s="88">
        <f>Assumptions!F53</f>
        <v>58000</v>
      </c>
      <c r="C42" s="4"/>
      <c r="D42" s="4"/>
      <c r="E42" s="4"/>
      <c r="F42" s="4"/>
      <c r="G42" s="4"/>
      <c r="H42" s="4"/>
      <c r="I42" s="4"/>
      <c r="J42" s="4"/>
      <c r="K42" s="4"/>
      <c r="L42" s="4"/>
      <c r="M42" s="4"/>
      <c r="N42" s="4"/>
      <c r="O42" s="4"/>
      <c r="P42" s="4"/>
      <c r="Q42" s="4"/>
      <c r="R42" s="4"/>
      <c r="S42" s="4"/>
      <c r="T42" s="4"/>
      <c r="U42" s="4"/>
      <c r="V42" s="4"/>
      <c r="W42" s="4"/>
      <c r="X42" s="4"/>
      <c r="Y42" s="4"/>
      <c r="Z42" s="4"/>
    </row>
    <row r="43" spans="1:26">
      <c r="A43" s="87" t="s">
        <v>177</v>
      </c>
      <c r="B43" s="88">
        <f>Assumptions!F54</f>
        <v>31500</v>
      </c>
      <c r="C43" s="4"/>
      <c r="D43" s="4"/>
      <c r="E43" s="4"/>
      <c r="F43" s="4"/>
      <c r="G43" s="4"/>
      <c r="H43" s="4"/>
      <c r="I43" s="4"/>
      <c r="J43" s="4"/>
      <c r="K43" s="4"/>
      <c r="L43" s="4"/>
      <c r="M43" s="4"/>
      <c r="N43" s="4"/>
      <c r="O43" s="4"/>
      <c r="P43" s="4"/>
      <c r="Q43" s="4"/>
      <c r="R43" s="4"/>
      <c r="S43" s="4"/>
      <c r="T43" s="4"/>
      <c r="U43" s="4"/>
      <c r="V43" s="4"/>
      <c r="W43" s="4"/>
      <c r="X43" s="4"/>
      <c r="Y43" s="4"/>
      <c r="Z43" s="4"/>
    </row>
    <row r="44" spans="1:26">
      <c r="A44" s="87" t="s">
        <v>178</v>
      </c>
      <c r="B44" s="89">
        <f>Assumptions!F55*Assumptions!F57*Assumptions!F56</f>
        <v>52200</v>
      </c>
      <c r="C44" s="4"/>
      <c r="D44" s="4"/>
      <c r="E44" s="4"/>
      <c r="F44" s="4"/>
      <c r="G44" s="4"/>
      <c r="H44" s="4"/>
      <c r="I44" s="4"/>
      <c r="J44" s="4"/>
      <c r="K44" s="4"/>
      <c r="L44" s="4"/>
      <c r="M44" s="4"/>
      <c r="N44" s="4"/>
      <c r="O44" s="4"/>
      <c r="P44" s="4"/>
      <c r="Q44" s="4"/>
      <c r="R44" s="4"/>
      <c r="S44" s="4"/>
      <c r="T44" s="4"/>
      <c r="U44" s="4"/>
      <c r="V44" s="4"/>
      <c r="W44" s="4"/>
      <c r="X44" s="4"/>
      <c r="Y44" s="4"/>
      <c r="Z44" s="4"/>
    </row>
    <row r="45" spans="1:26">
      <c r="A45" s="85" t="s">
        <v>179</v>
      </c>
      <c r="B45" s="90">
        <f>SUM(B42:B44)</f>
        <v>141700</v>
      </c>
      <c r="C45" s="4"/>
      <c r="D45" s="4"/>
      <c r="E45" s="4"/>
      <c r="F45" s="4"/>
      <c r="G45" s="4"/>
      <c r="H45" s="4"/>
      <c r="I45" s="4"/>
      <c r="J45" s="4"/>
      <c r="K45" s="4"/>
      <c r="L45" s="4"/>
      <c r="M45" s="4"/>
      <c r="N45" s="4"/>
      <c r="O45" s="4"/>
      <c r="P45" s="4"/>
      <c r="Q45" s="4"/>
      <c r="R45" s="4"/>
      <c r="S45" s="4"/>
      <c r="T45" s="4"/>
      <c r="U45" s="4"/>
      <c r="V45" s="4"/>
      <c r="W45" s="96">
        <f>(Assumptions!F55*Assumptions!F56*Assumptions!F57+Assumptions!F54+Assumptions!F53+Assumptions!F49+Assumptions!F48+Assumptions!F47+Assumptions!F46+Assumptions!F42+Assumptions!F41)-'Year 1'!$B$45-'Year 1'!$B$40-'Year 1'!$B$34</f>
        <v>2083153.7918400001</v>
      </c>
      <c r="X45" s="4"/>
      <c r="Y45" s="4"/>
      <c r="Z45" s="4"/>
    </row>
    <row r="46" spans="1:26">
      <c r="A46" s="85" t="s">
        <v>180</v>
      </c>
      <c r="B46" s="88"/>
      <c r="C46" s="4"/>
      <c r="D46" s="4"/>
      <c r="E46" s="4"/>
      <c r="F46" s="4"/>
      <c r="G46" s="4"/>
      <c r="H46" s="4"/>
      <c r="I46" s="4"/>
      <c r="J46" s="4"/>
      <c r="K46" s="4"/>
      <c r="L46" s="4"/>
      <c r="M46" s="4"/>
      <c r="N46" s="4"/>
      <c r="O46" s="4"/>
      <c r="P46" s="4"/>
      <c r="Q46" s="4"/>
      <c r="R46" s="4"/>
      <c r="S46" s="4"/>
      <c r="T46" s="4"/>
      <c r="U46" s="4"/>
      <c r="V46" s="4"/>
      <c r="W46" s="4"/>
      <c r="X46" s="4"/>
      <c r="Y46" s="4"/>
      <c r="Z46" s="4"/>
    </row>
    <row r="47" spans="1:26">
      <c r="A47" s="87" t="s">
        <v>181</v>
      </c>
      <c r="B47" s="88">
        <f>ROUND((B34+B40+B45)*Assumptions!F60,0)</f>
        <v>748152</v>
      </c>
      <c r="C47" s="4"/>
      <c r="D47" s="4"/>
      <c r="E47" s="4"/>
      <c r="F47" s="4"/>
      <c r="G47" s="4"/>
      <c r="H47" s="4"/>
      <c r="I47" s="4"/>
      <c r="J47" s="4"/>
      <c r="K47" s="4"/>
      <c r="L47" s="4"/>
      <c r="M47" s="4"/>
      <c r="N47" s="4"/>
      <c r="O47" s="4"/>
      <c r="P47" s="4"/>
      <c r="Q47" s="4"/>
      <c r="R47" s="4"/>
      <c r="S47" s="4"/>
      <c r="T47" s="4"/>
      <c r="U47" s="4"/>
      <c r="V47" s="4"/>
      <c r="W47" s="4"/>
      <c r="X47" s="4"/>
      <c r="Y47" s="4"/>
      <c r="Z47" s="4"/>
    </row>
    <row r="48" spans="1:26">
      <c r="A48" s="87" t="s">
        <v>182</v>
      </c>
      <c r="B48" s="88">
        <f>ROUND((B34+B40+B45)*Assumptions!F61,0)</f>
        <v>53837</v>
      </c>
      <c r="C48" s="4"/>
      <c r="D48" s="4"/>
      <c r="E48" s="4"/>
      <c r="F48" s="4"/>
      <c r="G48" s="4"/>
      <c r="H48" s="4"/>
      <c r="I48" s="4"/>
      <c r="J48" s="4"/>
      <c r="K48" s="4"/>
      <c r="L48" s="4"/>
      <c r="M48" s="4"/>
      <c r="N48" s="4"/>
      <c r="O48" s="4"/>
      <c r="P48" s="4"/>
      <c r="Q48" s="4"/>
      <c r="R48" s="4"/>
      <c r="S48" s="4"/>
      <c r="T48" s="4"/>
      <c r="U48" s="4"/>
      <c r="V48" s="4"/>
      <c r="W48" s="4"/>
      <c r="X48" s="4"/>
      <c r="Y48" s="4"/>
      <c r="Z48" s="4"/>
    </row>
    <row r="49" spans="1:26">
      <c r="A49" s="87" t="s">
        <v>183</v>
      </c>
      <c r="B49" s="88">
        <f>ROUND((Assumptions!$F$43+Assumptions!$F$50)*Assumptions!F62,0)</f>
        <v>344100</v>
      </c>
      <c r="C49" s="4"/>
      <c r="D49" s="4"/>
      <c r="E49" s="4"/>
      <c r="F49" s="4"/>
      <c r="G49" s="4"/>
      <c r="H49" s="4"/>
      <c r="I49" s="4"/>
      <c r="J49" s="4"/>
      <c r="K49" s="4"/>
      <c r="L49" s="4"/>
      <c r="M49" s="4"/>
      <c r="N49" s="4"/>
      <c r="O49" s="4"/>
      <c r="P49" s="4"/>
      <c r="Q49" s="4"/>
      <c r="R49" s="4"/>
      <c r="S49" s="4"/>
      <c r="T49" s="4"/>
      <c r="U49" s="4"/>
      <c r="V49" s="4"/>
      <c r="W49" s="4"/>
      <c r="X49" s="4"/>
      <c r="Y49" s="4"/>
      <c r="Z49" s="4"/>
    </row>
    <row r="50" spans="1:26">
      <c r="A50" s="87" t="s">
        <v>184</v>
      </c>
      <c r="B50" s="88">
        <f>ROUND((Assumptions!$F$43+Assumptions!$F$50)*Assumptions!F63,0)</f>
        <v>20925</v>
      </c>
      <c r="C50" s="4"/>
      <c r="D50" s="4"/>
      <c r="E50" s="4"/>
      <c r="F50" s="4"/>
      <c r="G50" s="4"/>
      <c r="H50" s="4"/>
      <c r="I50" s="4"/>
      <c r="J50" s="4"/>
      <c r="K50" s="4"/>
      <c r="L50" s="4"/>
      <c r="M50" s="4"/>
      <c r="N50" s="4"/>
      <c r="O50" s="4"/>
      <c r="P50" s="4"/>
      <c r="Q50" s="4"/>
      <c r="R50" s="4"/>
      <c r="S50" s="4"/>
      <c r="T50" s="4"/>
      <c r="U50" s="4"/>
      <c r="V50" s="4"/>
      <c r="W50" s="4"/>
      <c r="X50" s="4"/>
      <c r="Y50" s="4"/>
      <c r="Z50" s="4"/>
    </row>
    <row r="51" spans="1:26">
      <c r="A51" s="87" t="s">
        <v>185</v>
      </c>
      <c r="B51" s="88">
        <f>ROUND((Assumptions!$F$43+Assumptions!$F$50)*Assumptions!F64,0)</f>
        <v>0</v>
      </c>
      <c r="C51" s="4"/>
      <c r="D51" s="4"/>
      <c r="E51" s="4"/>
      <c r="F51" s="4"/>
      <c r="G51" s="4"/>
      <c r="H51" s="4"/>
      <c r="I51" s="4"/>
      <c r="J51" s="4"/>
      <c r="K51" s="4"/>
      <c r="L51" s="4"/>
      <c r="M51" s="4"/>
      <c r="N51" s="4"/>
      <c r="O51" s="4"/>
      <c r="P51" s="4"/>
      <c r="Q51" s="4"/>
      <c r="R51" s="4"/>
      <c r="S51" s="4"/>
      <c r="T51" s="4"/>
      <c r="U51" s="4"/>
      <c r="V51" s="4"/>
      <c r="W51" s="4"/>
      <c r="X51" s="4"/>
      <c r="Y51" s="4"/>
      <c r="Z51" s="4"/>
    </row>
    <row r="52" spans="1:26">
      <c r="A52" s="65" t="s">
        <v>186</v>
      </c>
      <c r="B52" s="88">
        <f>ROUND((Assumptions!$F$43+Assumptions!$F$50)*Assumptions!F65,0)</f>
        <v>4650</v>
      </c>
      <c r="C52" s="4"/>
      <c r="D52" s="4"/>
      <c r="E52" s="4"/>
      <c r="F52" s="4"/>
      <c r="G52" s="4"/>
      <c r="H52" s="4"/>
      <c r="I52" s="4"/>
      <c r="J52" s="4"/>
      <c r="K52" s="4"/>
      <c r="L52" s="4"/>
      <c r="M52" s="4"/>
      <c r="N52" s="4"/>
      <c r="O52" s="4"/>
      <c r="P52" s="4"/>
      <c r="Q52" s="4"/>
      <c r="R52" s="4"/>
      <c r="S52" s="4"/>
      <c r="T52" s="4"/>
      <c r="U52" s="4"/>
      <c r="V52" s="4"/>
      <c r="W52" s="4"/>
      <c r="X52" s="4"/>
      <c r="Y52" s="4"/>
      <c r="Z52" s="4"/>
    </row>
    <row r="53" spans="1:26">
      <c r="A53" s="87" t="s">
        <v>33</v>
      </c>
      <c r="B53" s="89">
        <f>ROUND((Assumptions!$F$43+Assumptions!$F$50)*Assumptions!F66,0)</f>
        <v>0</v>
      </c>
      <c r="C53" s="4"/>
      <c r="D53" s="4"/>
      <c r="E53" s="4"/>
      <c r="F53" s="4"/>
      <c r="G53" s="4"/>
      <c r="H53" s="4"/>
      <c r="I53" s="4"/>
      <c r="J53" s="4"/>
      <c r="K53" s="4"/>
      <c r="L53" s="4"/>
      <c r="M53" s="4"/>
      <c r="N53" s="4"/>
      <c r="O53" s="4"/>
      <c r="P53" s="4"/>
      <c r="Q53" s="4"/>
      <c r="R53" s="4"/>
      <c r="S53" s="4"/>
      <c r="T53" s="4"/>
      <c r="U53" s="4"/>
      <c r="V53" s="4"/>
      <c r="W53" s="4"/>
      <c r="X53" s="4"/>
      <c r="Y53" s="4"/>
      <c r="Z53" s="4"/>
    </row>
    <row r="54" spans="1:26">
      <c r="A54" s="85" t="s">
        <v>266</v>
      </c>
      <c r="B54" s="98">
        <f>SUM(B47:B53)</f>
        <v>1171664</v>
      </c>
      <c r="C54" s="4"/>
      <c r="D54" s="4"/>
      <c r="E54" s="4"/>
      <c r="F54" s="4"/>
      <c r="G54" s="4"/>
      <c r="H54" s="4"/>
      <c r="I54" s="4"/>
      <c r="J54" s="4"/>
      <c r="K54" s="4"/>
      <c r="L54" s="4"/>
      <c r="M54" s="4"/>
      <c r="N54" s="4"/>
      <c r="O54" s="4"/>
      <c r="P54" s="4"/>
      <c r="Q54" s="4"/>
      <c r="R54" s="4"/>
      <c r="S54" s="4"/>
      <c r="T54" s="4"/>
      <c r="U54" s="4"/>
      <c r="V54" s="4"/>
      <c r="W54" s="4"/>
      <c r="X54" s="4"/>
      <c r="Y54" s="4"/>
      <c r="Z54" s="4"/>
    </row>
    <row r="55" spans="1:26">
      <c r="A55" s="85" t="s">
        <v>188</v>
      </c>
      <c r="B55" s="90">
        <f>B34+B40+B54+B45</f>
        <v>4884577.7918400001</v>
      </c>
      <c r="C55" s="4"/>
      <c r="D55" s="4"/>
      <c r="E55" s="4"/>
      <c r="F55" s="4"/>
      <c r="G55" s="4"/>
      <c r="H55" s="4"/>
      <c r="I55" s="4"/>
      <c r="J55" s="4"/>
      <c r="K55" s="4"/>
      <c r="L55" s="4"/>
      <c r="M55" s="4"/>
      <c r="N55" s="4"/>
      <c r="O55" s="4"/>
      <c r="P55" s="4"/>
      <c r="Q55" s="4"/>
      <c r="R55" s="4"/>
      <c r="S55" s="4"/>
      <c r="T55" s="4"/>
      <c r="U55" s="4"/>
      <c r="V55" s="4"/>
      <c r="W55" s="4"/>
      <c r="X55" s="4"/>
      <c r="Y55" s="4"/>
      <c r="Z55" s="4"/>
    </row>
    <row r="56" spans="1:26">
      <c r="A56" s="85"/>
      <c r="B56" s="90"/>
      <c r="C56" s="4"/>
      <c r="D56" s="4"/>
      <c r="E56" s="4"/>
      <c r="F56" s="4"/>
      <c r="G56" s="4"/>
      <c r="H56" s="4"/>
      <c r="I56" s="4"/>
      <c r="J56" s="4"/>
      <c r="K56" s="4"/>
      <c r="L56" s="4"/>
      <c r="M56" s="4"/>
      <c r="N56" s="4"/>
      <c r="O56" s="4"/>
      <c r="P56" s="4"/>
      <c r="Q56" s="4"/>
      <c r="R56" s="4"/>
      <c r="S56" s="4"/>
      <c r="T56" s="4"/>
      <c r="U56" s="4"/>
      <c r="V56" s="4"/>
      <c r="W56" s="4"/>
      <c r="X56" s="4"/>
      <c r="Y56" s="4"/>
      <c r="Z56" s="4"/>
    </row>
    <row r="57" spans="1:26">
      <c r="A57" s="85" t="s">
        <v>189</v>
      </c>
      <c r="B57" s="88"/>
      <c r="C57" s="4"/>
      <c r="D57" s="4"/>
      <c r="E57" s="4"/>
      <c r="F57" s="4"/>
      <c r="G57" s="4"/>
      <c r="H57" s="4"/>
      <c r="I57" s="4"/>
      <c r="J57" s="4"/>
      <c r="K57" s="4"/>
      <c r="L57" s="4"/>
      <c r="M57" s="4"/>
      <c r="N57" s="4"/>
      <c r="O57" s="4"/>
      <c r="P57" s="4"/>
      <c r="Q57" s="4"/>
      <c r="R57" s="4"/>
      <c r="S57" s="4"/>
      <c r="T57" s="4"/>
      <c r="U57" s="4"/>
      <c r="V57" s="4"/>
      <c r="W57" s="4"/>
      <c r="X57" s="4"/>
      <c r="Y57" s="4"/>
      <c r="Z57" s="4"/>
    </row>
    <row r="58" spans="1:26">
      <c r="A58" s="87" t="s">
        <v>58</v>
      </c>
      <c r="B58" s="88">
        <f>Assumptions!F69</f>
        <v>43823.740000000005</v>
      </c>
      <c r="C58" s="4"/>
      <c r="D58" s="4"/>
      <c r="E58" s="4"/>
      <c r="F58" s="4"/>
      <c r="G58" s="4"/>
      <c r="H58" s="4"/>
      <c r="I58" s="4"/>
      <c r="J58" s="4"/>
      <c r="K58" s="4"/>
      <c r="L58" s="4"/>
      <c r="M58" s="4"/>
      <c r="N58" s="4"/>
      <c r="O58" s="4"/>
      <c r="P58" s="4"/>
      <c r="Q58" s="4"/>
      <c r="R58" s="4"/>
      <c r="S58" s="4"/>
      <c r="T58" s="4"/>
      <c r="U58" s="4"/>
      <c r="V58" s="4"/>
      <c r="W58" s="4"/>
      <c r="X58" s="4"/>
      <c r="Y58" s="4"/>
      <c r="Z58" s="4"/>
    </row>
    <row r="59" spans="1:26">
      <c r="A59" s="87" t="s">
        <v>59</v>
      </c>
      <c r="B59" s="88">
        <f>Assumptions!F70</f>
        <v>3749.9500000000003</v>
      </c>
      <c r="C59" s="4"/>
      <c r="D59" s="4"/>
      <c r="E59" s="4"/>
      <c r="F59" s="4"/>
      <c r="G59" s="4"/>
      <c r="H59" s="4"/>
      <c r="I59" s="4"/>
      <c r="J59" s="4"/>
      <c r="K59" s="4"/>
      <c r="L59" s="4"/>
      <c r="M59" s="4"/>
      <c r="N59" s="4"/>
      <c r="O59" s="4"/>
      <c r="P59" s="4"/>
      <c r="Q59" s="4"/>
      <c r="R59" s="4"/>
      <c r="S59" s="4"/>
      <c r="T59" s="4"/>
      <c r="U59" s="4"/>
      <c r="V59" s="4"/>
      <c r="W59" s="4"/>
      <c r="X59" s="4"/>
      <c r="Y59" s="4"/>
      <c r="Z59" s="4"/>
    </row>
    <row r="60" spans="1:26">
      <c r="A60" s="87" t="s">
        <v>190</v>
      </c>
      <c r="B60" s="88">
        <f>Assumptions!F71</f>
        <v>9060.6899999999987</v>
      </c>
      <c r="C60" s="4"/>
      <c r="D60" s="4"/>
      <c r="E60" s="4"/>
      <c r="F60" s="4"/>
      <c r="G60" s="4"/>
      <c r="H60" s="4"/>
      <c r="I60" s="4"/>
      <c r="J60" s="4"/>
      <c r="K60" s="4"/>
      <c r="L60" s="4"/>
      <c r="M60" s="4"/>
      <c r="N60" s="4"/>
      <c r="O60" s="4"/>
      <c r="P60" s="4"/>
      <c r="Q60" s="4"/>
      <c r="R60" s="4"/>
      <c r="S60" s="4"/>
      <c r="T60" s="4"/>
      <c r="U60" s="4"/>
      <c r="V60" s="4"/>
      <c r="W60" s="4"/>
      <c r="X60" s="4"/>
      <c r="Y60" s="4"/>
      <c r="Z60" s="4"/>
    </row>
    <row r="61" spans="1:26">
      <c r="A61" s="87" t="s">
        <v>191</v>
      </c>
      <c r="B61" s="88">
        <f>Assumptions!F72</f>
        <v>14695.75</v>
      </c>
      <c r="C61" s="4"/>
      <c r="D61" s="4"/>
      <c r="E61" s="4"/>
      <c r="F61" s="4"/>
      <c r="G61" s="4"/>
      <c r="H61" s="4"/>
      <c r="I61" s="4"/>
      <c r="J61" s="4"/>
      <c r="K61" s="4"/>
      <c r="L61" s="4"/>
      <c r="M61" s="4"/>
      <c r="N61" s="4"/>
      <c r="O61" s="4"/>
      <c r="P61" s="4"/>
      <c r="Q61" s="4"/>
      <c r="R61" s="4"/>
      <c r="S61" s="4"/>
      <c r="T61" s="4"/>
      <c r="U61" s="4"/>
      <c r="V61" s="4"/>
      <c r="W61" s="4"/>
      <c r="X61" s="4"/>
      <c r="Y61" s="4"/>
      <c r="Z61" s="4"/>
    </row>
    <row r="62" spans="1:26">
      <c r="A62" s="87" t="s">
        <v>62</v>
      </c>
      <c r="B62" s="88">
        <f>Assumptions!F73</f>
        <v>7844.49</v>
      </c>
      <c r="C62" s="4"/>
      <c r="D62" s="4"/>
      <c r="E62" s="4"/>
      <c r="F62" s="4"/>
      <c r="G62" s="4"/>
      <c r="H62" s="4"/>
      <c r="I62" s="4"/>
      <c r="J62" s="4"/>
      <c r="K62" s="4"/>
      <c r="L62" s="4"/>
      <c r="M62" s="4"/>
      <c r="N62" s="4"/>
      <c r="O62" s="4"/>
      <c r="P62" s="4"/>
      <c r="Q62" s="4"/>
      <c r="R62" s="4"/>
      <c r="S62" s="4"/>
      <c r="T62" s="4"/>
      <c r="U62" s="4"/>
      <c r="V62" s="4"/>
      <c r="W62" s="4"/>
      <c r="X62" s="4"/>
      <c r="Y62" s="4"/>
      <c r="Z62" s="4"/>
    </row>
    <row r="63" spans="1:26">
      <c r="A63" s="87" t="s">
        <v>63</v>
      </c>
      <c r="B63" s="88">
        <f>Assumptions!F74</f>
        <v>559.97625000000005</v>
      </c>
      <c r="C63" s="4"/>
      <c r="D63" s="4"/>
      <c r="E63" s="4"/>
      <c r="F63" s="4"/>
      <c r="G63" s="4"/>
      <c r="H63" s="4"/>
      <c r="I63" s="4"/>
      <c r="J63" s="4"/>
      <c r="K63" s="4"/>
      <c r="L63" s="4"/>
      <c r="M63" s="4"/>
      <c r="N63" s="4"/>
      <c r="O63" s="4"/>
      <c r="P63" s="4"/>
      <c r="Q63" s="4"/>
      <c r="R63" s="4"/>
      <c r="S63" s="4"/>
      <c r="T63" s="4"/>
      <c r="U63" s="4"/>
      <c r="V63" s="4"/>
      <c r="W63" s="4"/>
      <c r="X63" s="4"/>
      <c r="Y63" s="4"/>
      <c r="Z63" s="4"/>
    </row>
    <row r="64" spans="1:26">
      <c r="A64" s="87" t="s">
        <v>65</v>
      </c>
      <c r="B64" s="88">
        <f>Assumptions!F75</f>
        <v>0</v>
      </c>
      <c r="C64" s="4"/>
      <c r="D64" s="4"/>
      <c r="E64" s="4"/>
      <c r="F64" s="4"/>
      <c r="G64" s="4"/>
      <c r="H64" s="4"/>
      <c r="I64" s="4"/>
      <c r="J64" s="4"/>
      <c r="K64" s="4"/>
      <c r="L64" s="4"/>
      <c r="M64" s="4"/>
      <c r="N64" s="4"/>
      <c r="O64" s="4"/>
      <c r="P64" s="4"/>
      <c r="Q64" s="4"/>
      <c r="R64" s="4"/>
      <c r="S64" s="4"/>
      <c r="T64" s="4"/>
      <c r="U64" s="4"/>
      <c r="V64" s="4"/>
      <c r="W64" s="4"/>
      <c r="X64" s="4"/>
      <c r="Y64" s="4"/>
      <c r="Z64" s="4"/>
    </row>
    <row r="65" spans="1:26">
      <c r="A65" s="87" t="s">
        <v>192</v>
      </c>
      <c r="B65" s="88">
        <f>Assumptions!F76</f>
        <v>0</v>
      </c>
      <c r="C65" s="4"/>
      <c r="D65" s="4"/>
      <c r="E65" s="4"/>
      <c r="F65" s="4"/>
      <c r="G65" s="4"/>
      <c r="H65" s="4"/>
      <c r="I65" s="4"/>
      <c r="J65" s="4"/>
      <c r="K65" s="4"/>
      <c r="L65" s="4"/>
      <c r="M65" s="4"/>
      <c r="N65" s="4"/>
      <c r="O65" s="4"/>
      <c r="P65" s="4"/>
      <c r="Q65" s="4"/>
      <c r="R65" s="4"/>
      <c r="S65" s="4"/>
      <c r="T65" s="4"/>
      <c r="U65" s="4"/>
      <c r="V65" s="4"/>
      <c r="W65" s="4"/>
      <c r="X65" s="4"/>
      <c r="Y65" s="4"/>
      <c r="Z65" s="4"/>
    </row>
    <row r="66" spans="1:26">
      <c r="A66" s="87" t="s">
        <v>49</v>
      </c>
      <c r="B66" s="89">
        <f>Assumptions!F77</f>
        <v>304050</v>
      </c>
      <c r="C66" s="4"/>
      <c r="D66" s="4"/>
      <c r="E66" s="4"/>
      <c r="F66" s="4"/>
      <c r="G66" s="4"/>
      <c r="H66" s="4"/>
      <c r="I66" s="4"/>
      <c r="J66" s="4"/>
      <c r="K66" s="4"/>
      <c r="L66" s="4"/>
      <c r="M66" s="4"/>
      <c r="N66" s="4"/>
      <c r="O66" s="4"/>
      <c r="P66" s="4"/>
      <c r="Q66" s="4"/>
      <c r="R66" s="4"/>
      <c r="S66" s="4"/>
      <c r="T66" s="4"/>
      <c r="U66" s="4"/>
      <c r="V66" s="4"/>
      <c r="W66" s="4"/>
      <c r="X66" s="4"/>
      <c r="Y66" s="4"/>
      <c r="Z66" s="4"/>
    </row>
    <row r="67" spans="1:26">
      <c r="A67" s="85" t="s">
        <v>193</v>
      </c>
      <c r="B67" s="90">
        <f>SUM(B58:B66)</f>
        <v>383784.59625</v>
      </c>
      <c r="C67" s="4"/>
      <c r="D67" s="4"/>
      <c r="E67" s="4"/>
      <c r="F67" s="4"/>
      <c r="G67" s="4"/>
      <c r="H67" s="4"/>
      <c r="I67" s="4"/>
      <c r="J67" s="4"/>
      <c r="K67" s="4"/>
      <c r="L67" s="4"/>
      <c r="M67" s="4"/>
      <c r="N67" s="4"/>
      <c r="O67" s="4"/>
      <c r="P67" s="4"/>
      <c r="Q67" s="4"/>
      <c r="R67" s="4"/>
      <c r="S67" s="4"/>
      <c r="T67" s="4"/>
      <c r="U67" s="4"/>
      <c r="V67" s="4"/>
      <c r="W67" s="4"/>
      <c r="X67" s="4"/>
      <c r="Y67" s="4"/>
      <c r="Z67" s="4"/>
    </row>
    <row r="68" spans="1:26">
      <c r="A68" s="85"/>
      <c r="B68" s="90"/>
      <c r="C68" s="4"/>
      <c r="D68" s="4"/>
      <c r="E68" s="4"/>
      <c r="F68" s="4"/>
      <c r="G68" s="4"/>
      <c r="H68" s="4"/>
      <c r="I68" s="4"/>
      <c r="J68" s="4"/>
      <c r="K68" s="4"/>
      <c r="L68" s="4"/>
      <c r="M68" s="4"/>
      <c r="N68" s="4"/>
      <c r="O68" s="4"/>
      <c r="P68" s="4"/>
      <c r="Q68" s="4"/>
      <c r="R68" s="4"/>
      <c r="S68" s="4"/>
      <c r="T68" s="4"/>
      <c r="U68" s="4"/>
      <c r="V68" s="4"/>
      <c r="W68" s="4"/>
      <c r="X68" s="4"/>
      <c r="Y68" s="4"/>
      <c r="Z68" s="4"/>
    </row>
    <row r="69" spans="1:26">
      <c r="A69" s="85" t="s">
        <v>194</v>
      </c>
      <c r="B69" s="88"/>
      <c r="C69" s="4"/>
      <c r="D69" s="4"/>
      <c r="E69" s="4"/>
      <c r="F69" s="4"/>
      <c r="G69" s="4"/>
      <c r="H69" s="4"/>
      <c r="I69" s="4"/>
      <c r="J69" s="4"/>
      <c r="K69" s="4"/>
      <c r="L69" s="4"/>
      <c r="M69" s="4"/>
      <c r="N69" s="4"/>
      <c r="O69" s="4"/>
      <c r="P69" s="4"/>
      <c r="Q69" s="4"/>
      <c r="R69" s="4"/>
      <c r="S69" s="4"/>
      <c r="T69" s="4"/>
      <c r="U69" s="4"/>
      <c r="V69" s="4"/>
      <c r="W69" s="4"/>
      <c r="X69" s="4"/>
      <c r="Y69" s="4"/>
      <c r="Z69" s="4"/>
    </row>
    <row r="70" spans="1:26">
      <c r="A70" s="87" t="s">
        <v>70</v>
      </c>
      <c r="B70" s="88">
        <f>Assumptions!F80</f>
        <v>20000</v>
      </c>
      <c r="C70" s="4"/>
      <c r="D70" s="4"/>
      <c r="E70" s="4"/>
      <c r="F70" s="4"/>
      <c r="G70" s="4"/>
      <c r="H70" s="4"/>
      <c r="I70" s="4"/>
      <c r="J70" s="4"/>
      <c r="K70" s="4"/>
      <c r="L70" s="4"/>
      <c r="M70" s="4"/>
      <c r="N70" s="4"/>
      <c r="O70" s="4"/>
      <c r="P70" s="4"/>
      <c r="Q70" s="4"/>
      <c r="R70" s="4"/>
      <c r="S70" s="4"/>
      <c r="T70" s="4"/>
      <c r="U70" s="4"/>
      <c r="V70" s="4"/>
      <c r="W70" s="4"/>
      <c r="X70" s="4"/>
      <c r="Y70" s="4"/>
      <c r="Z70" s="4"/>
    </row>
    <row r="71" spans="1:26">
      <c r="A71" s="87" t="s">
        <v>72</v>
      </c>
      <c r="B71" s="88">
        <f>Assumptions!F81</f>
        <v>2400</v>
      </c>
      <c r="C71" s="4"/>
      <c r="D71" s="4"/>
      <c r="E71" s="4"/>
      <c r="F71" s="4"/>
      <c r="G71" s="4"/>
      <c r="H71" s="4"/>
      <c r="I71" s="4"/>
      <c r="J71" s="4"/>
      <c r="K71" s="4"/>
      <c r="L71" s="4"/>
      <c r="M71" s="4"/>
      <c r="N71" s="4"/>
      <c r="O71" s="4"/>
      <c r="P71" s="4"/>
      <c r="Q71" s="4"/>
      <c r="R71" s="4"/>
      <c r="S71" s="4"/>
      <c r="T71" s="4"/>
      <c r="U71" s="4"/>
      <c r="V71" s="4"/>
      <c r="W71" s="4"/>
      <c r="X71" s="4"/>
      <c r="Y71" s="4"/>
      <c r="Z71" s="4"/>
    </row>
    <row r="72" spans="1:26">
      <c r="A72" s="87" t="s">
        <v>73</v>
      </c>
      <c r="B72" s="88">
        <f>Assumptions!F82</f>
        <v>3000</v>
      </c>
      <c r="C72" s="4"/>
      <c r="D72" s="4"/>
      <c r="E72" s="4"/>
      <c r="F72" s="4"/>
      <c r="G72" s="4"/>
      <c r="H72" s="4"/>
      <c r="I72" s="4"/>
      <c r="J72" s="4"/>
      <c r="K72" s="4"/>
      <c r="L72" s="4"/>
      <c r="M72" s="4"/>
      <c r="N72" s="4"/>
      <c r="O72" s="4"/>
      <c r="P72" s="4"/>
      <c r="Q72" s="4"/>
      <c r="R72" s="4"/>
      <c r="S72" s="4"/>
      <c r="T72" s="4"/>
      <c r="U72" s="4"/>
      <c r="V72" s="4"/>
      <c r="W72" s="4"/>
      <c r="X72" s="4"/>
      <c r="Y72" s="4"/>
      <c r="Z72" s="4"/>
    </row>
    <row r="73" spans="1:26">
      <c r="A73" s="87" t="s">
        <v>75</v>
      </c>
      <c r="B73" s="88">
        <f>Assumptions!F83</f>
        <v>14000</v>
      </c>
      <c r="C73" s="4"/>
      <c r="D73" s="4"/>
      <c r="E73" s="4"/>
      <c r="F73" s="4"/>
      <c r="G73" s="4"/>
      <c r="H73" s="4"/>
      <c r="I73" s="4"/>
      <c r="J73" s="4"/>
      <c r="K73" s="4"/>
      <c r="L73" s="4"/>
      <c r="M73" s="4"/>
      <c r="N73" s="4"/>
      <c r="O73" s="4"/>
      <c r="P73" s="4"/>
      <c r="Q73" s="4"/>
      <c r="R73" s="4"/>
      <c r="S73" s="4"/>
      <c r="T73" s="4"/>
      <c r="U73" s="4"/>
      <c r="V73" s="4"/>
      <c r="W73" s="4"/>
      <c r="X73" s="4"/>
      <c r="Y73" s="4"/>
      <c r="Z73" s="4"/>
    </row>
    <row r="74" spans="1:26">
      <c r="A74" s="87" t="s">
        <v>76</v>
      </c>
      <c r="B74" s="89">
        <f>Assumptions!F84</f>
        <v>0</v>
      </c>
      <c r="C74" s="4"/>
      <c r="D74" s="4"/>
      <c r="E74" s="4"/>
      <c r="F74" s="4"/>
      <c r="G74" s="4"/>
      <c r="H74" s="4"/>
      <c r="I74" s="4"/>
      <c r="J74" s="4"/>
      <c r="K74" s="4"/>
      <c r="L74" s="4"/>
      <c r="M74" s="4"/>
      <c r="N74" s="4"/>
      <c r="O74" s="4"/>
      <c r="P74" s="4"/>
      <c r="Q74" s="4"/>
      <c r="R74" s="4"/>
      <c r="S74" s="4"/>
      <c r="T74" s="4"/>
      <c r="U74" s="4"/>
      <c r="V74" s="4"/>
      <c r="W74" s="4"/>
      <c r="X74" s="4"/>
      <c r="Y74" s="4"/>
      <c r="Z74" s="4"/>
    </row>
    <row r="75" spans="1:26">
      <c r="A75" s="85" t="s">
        <v>195</v>
      </c>
      <c r="B75" s="90">
        <f>SUM(B70:B74)</f>
        <v>39400</v>
      </c>
      <c r="C75" s="4"/>
      <c r="D75" s="4"/>
      <c r="E75" s="4"/>
      <c r="F75" s="4"/>
      <c r="G75" s="4"/>
      <c r="H75" s="4"/>
      <c r="I75" s="4"/>
      <c r="J75" s="4"/>
      <c r="K75" s="4"/>
      <c r="L75" s="4"/>
      <c r="M75" s="4"/>
      <c r="N75" s="4"/>
      <c r="O75" s="4"/>
      <c r="P75" s="4"/>
      <c r="Q75" s="4"/>
      <c r="R75" s="4"/>
      <c r="S75" s="4"/>
      <c r="T75" s="4"/>
      <c r="U75" s="4"/>
      <c r="V75" s="4"/>
      <c r="W75" s="4"/>
      <c r="X75" s="4"/>
      <c r="Y75" s="4"/>
      <c r="Z75" s="4"/>
    </row>
    <row r="76" spans="1:26">
      <c r="A76" s="85"/>
      <c r="B76" s="90"/>
      <c r="C76" s="4"/>
      <c r="D76" s="4"/>
      <c r="E76" s="4"/>
      <c r="F76" s="4"/>
      <c r="G76" s="4"/>
      <c r="H76" s="4"/>
      <c r="I76" s="4"/>
      <c r="J76" s="4"/>
      <c r="K76" s="4"/>
      <c r="L76" s="4"/>
      <c r="M76" s="4"/>
      <c r="N76" s="4"/>
      <c r="O76" s="4"/>
      <c r="P76" s="4"/>
      <c r="Q76" s="4"/>
      <c r="R76" s="4"/>
      <c r="S76" s="4"/>
      <c r="T76" s="4"/>
      <c r="U76" s="4"/>
      <c r="V76" s="4"/>
      <c r="W76" s="4"/>
      <c r="X76" s="4"/>
      <c r="Y76" s="4"/>
      <c r="Z76" s="4"/>
    </row>
    <row r="77" spans="1:26">
      <c r="A77" s="85" t="s">
        <v>196</v>
      </c>
      <c r="B77" s="88"/>
      <c r="C77" s="4"/>
      <c r="D77" s="4"/>
      <c r="E77" s="4"/>
      <c r="F77" s="4"/>
      <c r="G77" s="4"/>
      <c r="H77" s="4"/>
      <c r="I77" s="4"/>
      <c r="J77" s="4"/>
      <c r="K77" s="4"/>
      <c r="L77" s="4"/>
      <c r="M77" s="4"/>
      <c r="N77" s="4"/>
      <c r="O77" s="4"/>
      <c r="P77" s="4"/>
      <c r="Q77" s="4"/>
      <c r="R77" s="4"/>
      <c r="S77" s="4"/>
      <c r="T77" s="4"/>
      <c r="U77" s="4"/>
      <c r="V77" s="4"/>
      <c r="W77" s="4"/>
      <c r="X77" s="4"/>
      <c r="Y77" s="4"/>
      <c r="Z77" s="4"/>
    </row>
    <row r="78" spans="1:26">
      <c r="A78" s="87" t="s">
        <v>79</v>
      </c>
      <c r="B78" s="88">
        <f>Assumptions!F87</f>
        <v>0</v>
      </c>
      <c r="C78" s="4"/>
      <c r="D78" s="4"/>
      <c r="E78" s="4"/>
      <c r="F78" s="4"/>
      <c r="G78" s="4"/>
      <c r="H78" s="4"/>
      <c r="I78" s="4"/>
      <c r="J78" s="4"/>
      <c r="K78" s="4"/>
      <c r="L78" s="4"/>
      <c r="M78" s="4"/>
      <c r="N78" s="4"/>
      <c r="O78" s="4"/>
      <c r="P78" s="4"/>
      <c r="Q78" s="4"/>
      <c r="R78" s="4"/>
      <c r="S78" s="4"/>
      <c r="T78" s="4"/>
      <c r="U78" s="4"/>
      <c r="V78" s="4"/>
      <c r="W78" s="4"/>
      <c r="X78" s="4"/>
      <c r="Y78" s="4"/>
      <c r="Z78" s="4"/>
    </row>
    <row r="79" spans="1:26">
      <c r="A79" s="87" t="s">
        <v>82</v>
      </c>
      <c r="B79" s="89">
        <f>Assumptions!F88</f>
        <v>0</v>
      </c>
      <c r="C79" s="4"/>
      <c r="D79" s="4"/>
      <c r="E79" s="4"/>
      <c r="F79" s="4"/>
      <c r="G79" s="4"/>
      <c r="H79" s="4"/>
      <c r="I79" s="4"/>
      <c r="J79" s="4"/>
      <c r="K79" s="4"/>
      <c r="L79" s="4"/>
      <c r="M79" s="4"/>
      <c r="N79" s="4"/>
      <c r="O79" s="4"/>
      <c r="P79" s="4"/>
      <c r="Q79" s="4"/>
      <c r="R79" s="4"/>
      <c r="S79" s="4"/>
      <c r="T79" s="4"/>
      <c r="U79" s="4"/>
      <c r="V79" s="4"/>
      <c r="W79" s="4"/>
      <c r="X79" s="4"/>
      <c r="Y79" s="4"/>
      <c r="Z79" s="4"/>
    </row>
    <row r="80" spans="1:26">
      <c r="A80" s="85" t="s">
        <v>197</v>
      </c>
      <c r="B80" s="90">
        <f>SUM(B78:B79)</f>
        <v>0</v>
      </c>
      <c r="C80" s="4"/>
      <c r="D80" s="4"/>
      <c r="E80" s="4"/>
      <c r="F80" s="4"/>
      <c r="G80" s="4"/>
      <c r="H80" s="4"/>
      <c r="I80" s="4"/>
      <c r="J80" s="4"/>
      <c r="K80" s="4"/>
      <c r="L80" s="4"/>
      <c r="M80" s="4"/>
      <c r="N80" s="4"/>
      <c r="O80" s="4"/>
      <c r="P80" s="4"/>
      <c r="Q80" s="4"/>
      <c r="R80" s="4"/>
      <c r="S80" s="4"/>
      <c r="T80" s="4"/>
      <c r="U80" s="4"/>
      <c r="V80" s="4"/>
      <c r="W80" s="4"/>
      <c r="X80" s="4"/>
      <c r="Y80" s="4"/>
      <c r="Z80" s="4"/>
    </row>
    <row r="81" spans="1:26">
      <c r="A81" s="85"/>
      <c r="B81" s="90"/>
      <c r="C81" s="4"/>
      <c r="D81" s="4"/>
      <c r="E81" s="4"/>
      <c r="F81" s="4"/>
      <c r="G81" s="4"/>
      <c r="H81" s="4"/>
      <c r="I81" s="4"/>
      <c r="J81" s="4"/>
      <c r="K81" s="4"/>
      <c r="L81" s="4"/>
      <c r="M81" s="4"/>
      <c r="N81" s="4"/>
      <c r="O81" s="4"/>
      <c r="P81" s="4"/>
      <c r="Q81" s="4"/>
      <c r="R81" s="4"/>
      <c r="S81" s="4"/>
      <c r="T81" s="4"/>
      <c r="U81" s="4"/>
      <c r="V81" s="4"/>
      <c r="W81" s="4"/>
      <c r="X81" s="4"/>
      <c r="Y81" s="4"/>
      <c r="Z81" s="4"/>
    </row>
    <row r="82" spans="1:26">
      <c r="A82" s="85" t="s">
        <v>198</v>
      </c>
      <c r="B82" s="88"/>
      <c r="C82" s="4"/>
      <c r="D82" s="4"/>
      <c r="E82" s="4"/>
      <c r="F82" s="4"/>
      <c r="G82" s="4"/>
      <c r="H82" s="4"/>
      <c r="I82" s="4"/>
      <c r="J82" s="4"/>
      <c r="K82" s="4"/>
      <c r="L82" s="4"/>
      <c r="M82" s="4"/>
      <c r="N82" s="4"/>
      <c r="O82" s="4"/>
      <c r="P82" s="4"/>
      <c r="Q82" s="4"/>
      <c r="R82" s="4"/>
      <c r="S82" s="4"/>
      <c r="T82" s="4"/>
      <c r="U82" s="4"/>
      <c r="V82" s="4"/>
      <c r="W82" s="4"/>
      <c r="X82" s="4"/>
      <c r="Y82" s="4"/>
      <c r="Z82" s="4"/>
    </row>
    <row r="83" spans="1:26">
      <c r="A83" s="87" t="s">
        <v>84</v>
      </c>
      <c r="B83" s="88">
        <f>Assumptions!F91</f>
        <v>0</v>
      </c>
      <c r="C83" s="4"/>
      <c r="D83" s="4"/>
      <c r="E83" s="4"/>
      <c r="F83" s="4"/>
      <c r="G83" s="4"/>
      <c r="H83" s="4"/>
      <c r="I83" s="4"/>
      <c r="J83" s="4"/>
      <c r="K83" s="4"/>
      <c r="L83" s="4"/>
      <c r="M83" s="4"/>
      <c r="N83" s="4"/>
      <c r="O83" s="4"/>
      <c r="P83" s="4"/>
      <c r="Q83" s="4"/>
      <c r="R83" s="4"/>
      <c r="S83" s="4"/>
      <c r="T83" s="4"/>
      <c r="U83" s="4"/>
      <c r="V83" s="4"/>
      <c r="W83" s="4"/>
      <c r="X83" s="4"/>
      <c r="Y83" s="4"/>
      <c r="Z83" s="4"/>
    </row>
    <row r="84" spans="1:26">
      <c r="A84" s="87" t="s">
        <v>86</v>
      </c>
      <c r="B84" s="88">
        <f>Assumptions!F92</f>
        <v>0</v>
      </c>
      <c r="C84" s="4"/>
      <c r="D84" s="4"/>
      <c r="E84" s="4"/>
      <c r="F84" s="4"/>
      <c r="G84" s="4"/>
      <c r="H84" s="4"/>
      <c r="I84" s="4"/>
      <c r="J84" s="4"/>
      <c r="K84" s="4"/>
      <c r="L84" s="4"/>
      <c r="M84" s="4"/>
      <c r="N84" s="4"/>
      <c r="O84" s="4"/>
      <c r="P84" s="4"/>
      <c r="Q84" s="4"/>
      <c r="R84" s="4"/>
      <c r="S84" s="4"/>
      <c r="T84" s="4"/>
      <c r="U84" s="4"/>
      <c r="V84" s="4"/>
      <c r="W84" s="4"/>
      <c r="X84" s="4"/>
      <c r="Y84" s="4"/>
      <c r="Z84" s="4"/>
    </row>
    <row r="85" spans="1:26">
      <c r="A85" s="87" t="s">
        <v>90</v>
      </c>
      <c r="B85" s="89">
        <f>Assumptions!F93</f>
        <v>0</v>
      </c>
      <c r="C85" s="4"/>
      <c r="D85" s="4"/>
      <c r="E85" s="4"/>
      <c r="F85" s="4"/>
      <c r="G85" s="4"/>
      <c r="H85" s="4"/>
      <c r="I85" s="4"/>
      <c r="J85" s="4"/>
      <c r="K85" s="4"/>
      <c r="L85" s="4"/>
      <c r="M85" s="4"/>
      <c r="N85" s="4"/>
      <c r="O85" s="4"/>
      <c r="P85" s="4"/>
      <c r="Q85" s="4"/>
      <c r="R85" s="4"/>
      <c r="S85" s="4"/>
      <c r="T85" s="4"/>
      <c r="U85" s="4"/>
      <c r="V85" s="4"/>
      <c r="W85" s="4"/>
      <c r="X85" s="4"/>
      <c r="Y85" s="4"/>
      <c r="Z85" s="4"/>
    </row>
    <row r="86" spans="1:26">
      <c r="A86" s="85" t="s">
        <v>199</v>
      </c>
      <c r="B86" s="90">
        <f>SUM(B83:B85)</f>
        <v>0</v>
      </c>
      <c r="C86" s="4"/>
      <c r="D86" s="4"/>
      <c r="E86" s="4"/>
      <c r="F86" s="4"/>
      <c r="G86" s="4"/>
      <c r="H86" s="4"/>
      <c r="I86" s="4"/>
      <c r="J86" s="4"/>
      <c r="K86" s="4"/>
      <c r="L86" s="4"/>
      <c r="M86" s="4"/>
      <c r="N86" s="4"/>
      <c r="O86" s="4"/>
      <c r="P86" s="4"/>
      <c r="Q86" s="4"/>
      <c r="R86" s="4"/>
      <c r="S86" s="4"/>
      <c r="T86" s="4"/>
      <c r="U86" s="4"/>
      <c r="V86" s="4"/>
      <c r="W86" s="4"/>
      <c r="X86" s="4"/>
      <c r="Y86" s="4"/>
      <c r="Z86" s="4"/>
    </row>
    <row r="87" spans="1:26">
      <c r="A87" s="85"/>
      <c r="B87" s="90"/>
      <c r="C87" s="4"/>
      <c r="D87" s="4"/>
      <c r="E87" s="4"/>
      <c r="F87" s="4"/>
      <c r="G87" s="4"/>
      <c r="H87" s="4"/>
      <c r="I87" s="4"/>
      <c r="J87" s="4"/>
      <c r="K87" s="4"/>
      <c r="L87" s="4"/>
      <c r="M87" s="4"/>
      <c r="N87" s="4"/>
      <c r="O87" s="4"/>
      <c r="P87" s="4"/>
      <c r="Q87" s="4"/>
      <c r="R87" s="4"/>
      <c r="S87" s="4"/>
      <c r="T87" s="4"/>
      <c r="U87" s="4"/>
      <c r="V87" s="4"/>
      <c r="W87" s="4"/>
      <c r="X87" s="4"/>
      <c r="Y87" s="4"/>
      <c r="Z87" s="4"/>
    </row>
    <row r="88" spans="1:26">
      <c r="A88" s="85" t="s">
        <v>200</v>
      </c>
      <c r="B88" s="88"/>
      <c r="C88" s="4"/>
      <c r="D88" s="4"/>
      <c r="E88" s="4"/>
      <c r="F88" s="4"/>
      <c r="G88" s="4"/>
      <c r="H88" s="4"/>
      <c r="I88" s="4"/>
      <c r="J88" s="4"/>
      <c r="K88" s="4"/>
      <c r="L88" s="4"/>
      <c r="M88" s="4"/>
      <c r="N88" s="4"/>
      <c r="O88" s="4"/>
      <c r="P88" s="4"/>
      <c r="Q88" s="4"/>
      <c r="R88" s="4"/>
      <c r="S88" s="4"/>
      <c r="T88" s="4"/>
      <c r="U88" s="4"/>
      <c r="V88" s="4"/>
      <c r="W88" s="4"/>
      <c r="X88" s="4"/>
      <c r="Y88" s="4"/>
      <c r="Z88" s="4"/>
    </row>
    <row r="89" spans="1:26">
      <c r="A89" s="87" t="s">
        <v>93</v>
      </c>
      <c r="B89" s="88">
        <f>Assumptions!F96</f>
        <v>0</v>
      </c>
      <c r="C89" s="4"/>
      <c r="D89" s="4"/>
      <c r="E89" s="4"/>
      <c r="F89" s="4"/>
      <c r="G89" s="4"/>
      <c r="H89" s="4"/>
      <c r="I89" s="4"/>
      <c r="J89" s="4"/>
      <c r="K89" s="4"/>
      <c r="L89" s="4"/>
      <c r="M89" s="4"/>
      <c r="N89" s="4"/>
      <c r="O89" s="4"/>
      <c r="P89" s="4"/>
      <c r="Q89" s="4"/>
      <c r="R89" s="4"/>
      <c r="S89" s="4"/>
      <c r="T89" s="4"/>
      <c r="U89" s="4"/>
      <c r="V89" s="4"/>
      <c r="W89" s="4"/>
      <c r="X89" s="4"/>
      <c r="Y89" s="4"/>
      <c r="Z89" s="4"/>
    </row>
    <row r="90" spans="1:26">
      <c r="A90" s="87" t="s">
        <v>95</v>
      </c>
      <c r="B90" s="88">
        <f>Assumptions!F97</f>
        <v>0</v>
      </c>
      <c r="C90" s="4"/>
      <c r="D90" s="4"/>
      <c r="E90" s="4"/>
      <c r="F90" s="4"/>
      <c r="G90" s="4"/>
      <c r="H90" s="4"/>
      <c r="I90" s="4"/>
      <c r="J90" s="4"/>
      <c r="K90" s="4"/>
      <c r="L90" s="4"/>
      <c r="M90" s="4"/>
      <c r="N90" s="4"/>
      <c r="O90" s="4"/>
      <c r="P90" s="4"/>
      <c r="Q90" s="4"/>
      <c r="R90" s="4"/>
      <c r="S90" s="4"/>
      <c r="T90" s="4"/>
      <c r="U90" s="4"/>
      <c r="V90" s="4"/>
      <c r="W90" s="4"/>
      <c r="X90" s="4"/>
      <c r="Y90" s="4"/>
      <c r="Z90" s="4"/>
    </row>
    <row r="91" spans="1:26">
      <c r="A91" s="87" t="s">
        <v>201</v>
      </c>
      <c r="B91" s="89">
        <f>Assumptions!F98</f>
        <v>0</v>
      </c>
      <c r="C91" s="4"/>
      <c r="D91" s="4"/>
      <c r="E91" s="4"/>
      <c r="F91" s="4"/>
      <c r="G91" s="4"/>
      <c r="H91" s="4"/>
      <c r="I91" s="4"/>
      <c r="J91" s="4"/>
      <c r="K91" s="4"/>
      <c r="L91" s="4"/>
      <c r="M91" s="4"/>
      <c r="N91" s="4"/>
      <c r="O91" s="4"/>
      <c r="P91" s="4"/>
      <c r="Q91" s="4"/>
      <c r="R91" s="4"/>
      <c r="S91" s="4"/>
      <c r="T91" s="4"/>
      <c r="U91" s="4"/>
      <c r="V91" s="4"/>
      <c r="W91" s="4"/>
      <c r="X91" s="4"/>
      <c r="Y91" s="4"/>
      <c r="Z91" s="4"/>
    </row>
    <row r="92" spans="1:26">
      <c r="A92" s="85" t="s">
        <v>202</v>
      </c>
      <c r="B92" s="90">
        <f>SUM(B89:B91)</f>
        <v>0</v>
      </c>
      <c r="C92" s="4"/>
      <c r="D92" s="4"/>
      <c r="E92" s="4"/>
      <c r="F92" s="4"/>
      <c r="G92" s="4"/>
      <c r="H92" s="4"/>
      <c r="I92" s="4"/>
      <c r="J92" s="4"/>
      <c r="K92" s="4"/>
      <c r="L92" s="4"/>
      <c r="M92" s="4"/>
      <c r="N92" s="4"/>
      <c r="O92" s="4"/>
      <c r="P92" s="4"/>
      <c r="Q92" s="4"/>
      <c r="R92" s="4"/>
      <c r="S92" s="4"/>
      <c r="T92" s="4"/>
      <c r="U92" s="4"/>
      <c r="V92" s="4"/>
      <c r="W92" s="4"/>
      <c r="X92" s="4"/>
      <c r="Y92" s="4"/>
      <c r="Z92" s="4"/>
    </row>
    <row r="93" spans="1:26">
      <c r="A93" s="85"/>
      <c r="B93" s="90"/>
      <c r="C93" s="4"/>
      <c r="D93" s="4"/>
      <c r="E93" s="4"/>
      <c r="F93" s="4"/>
      <c r="G93" s="4"/>
      <c r="H93" s="4"/>
      <c r="I93" s="4"/>
      <c r="J93" s="4"/>
      <c r="K93" s="4"/>
      <c r="L93" s="4"/>
      <c r="M93" s="4"/>
      <c r="N93" s="4"/>
      <c r="O93" s="4"/>
      <c r="P93" s="4"/>
      <c r="Q93" s="4"/>
      <c r="R93" s="4"/>
      <c r="S93" s="4"/>
      <c r="T93" s="4"/>
      <c r="U93" s="4"/>
      <c r="V93" s="4"/>
      <c r="W93" s="4"/>
      <c r="X93" s="4"/>
      <c r="Y93" s="4"/>
      <c r="Z93" s="4"/>
    </row>
    <row r="94" spans="1:26">
      <c r="A94" s="85" t="s">
        <v>203</v>
      </c>
      <c r="B94" s="88"/>
      <c r="C94" s="4"/>
      <c r="D94" s="4"/>
      <c r="E94" s="4"/>
      <c r="F94" s="4"/>
      <c r="G94" s="4"/>
      <c r="H94" s="4"/>
      <c r="I94" s="4"/>
      <c r="J94" s="4"/>
      <c r="K94" s="4"/>
      <c r="L94" s="4"/>
      <c r="M94" s="4"/>
      <c r="N94" s="4"/>
      <c r="O94" s="4"/>
      <c r="P94" s="4"/>
      <c r="Q94" s="4"/>
      <c r="R94" s="4"/>
      <c r="S94" s="4"/>
      <c r="T94" s="4"/>
      <c r="U94" s="4"/>
      <c r="V94" s="4"/>
      <c r="W94" s="4"/>
      <c r="X94" s="4"/>
      <c r="Y94" s="4"/>
      <c r="Z94" s="4"/>
    </row>
    <row r="95" spans="1:26">
      <c r="A95" s="87" t="s">
        <v>98</v>
      </c>
      <c r="B95" s="88">
        <f>Assumptions!F101</f>
        <v>0</v>
      </c>
      <c r="C95" s="4"/>
      <c r="D95" s="4"/>
      <c r="E95" s="4"/>
      <c r="F95" s="4"/>
      <c r="G95" s="4"/>
      <c r="H95" s="4"/>
      <c r="I95" s="4"/>
      <c r="J95" s="4"/>
      <c r="K95" s="4"/>
      <c r="L95" s="4"/>
      <c r="M95" s="4"/>
      <c r="N95" s="4"/>
      <c r="O95" s="4"/>
      <c r="P95" s="4"/>
      <c r="Q95" s="4"/>
      <c r="R95" s="4"/>
      <c r="S95" s="4"/>
      <c r="T95" s="4"/>
      <c r="U95" s="4"/>
      <c r="V95" s="4"/>
      <c r="W95" s="4"/>
      <c r="X95" s="4"/>
      <c r="Y95" s="4"/>
      <c r="Z95" s="4"/>
    </row>
    <row r="96" spans="1:26">
      <c r="A96" s="87" t="s">
        <v>99</v>
      </c>
      <c r="B96" s="88">
        <f>Assumptions!F102</f>
        <v>0</v>
      </c>
      <c r="C96" s="4"/>
      <c r="D96" s="4"/>
      <c r="E96" s="4"/>
      <c r="F96" s="4"/>
      <c r="G96" s="4"/>
      <c r="H96" s="4"/>
      <c r="I96" s="4"/>
      <c r="J96" s="4"/>
      <c r="K96" s="4"/>
      <c r="L96" s="4"/>
      <c r="M96" s="4"/>
      <c r="N96" s="4"/>
      <c r="O96" s="4"/>
      <c r="P96" s="4"/>
      <c r="Q96" s="4"/>
      <c r="R96" s="4"/>
      <c r="S96" s="4"/>
      <c r="T96" s="4"/>
      <c r="U96" s="4"/>
      <c r="V96" s="4"/>
      <c r="W96" s="4"/>
      <c r="X96" s="4"/>
      <c r="Y96" s="4"/>
      <c r="Z96" s="4"/>
    </row>
    <row r="97" spans="1:26">
      <c r="A97" s="87" t="s">
        <v>100</v>
      </c>
      <c r="B97" s="89">
        <f>Assumptions!F103</f>
        <v>0</v>
      </c>
      <c r="C97" s="4"/>
      <c r="D97" s="4"/>
      <c r="E97" s="4"/>
      <c r="F97" s="4"/>
      <c r="G97" s="4"/>
      <c r="H97" s="4"/>
      <c r="I97" s="4"/>
      <c r="J97" s="4"/>
      <c r="K97" s="4"/>
      <c r="L97" s="4"/>
      <c r="M97" s="4"/>
      <c r="N97" s="4"/>
      <c r="O97" s="4"/>
      <c r="P97" s="4"/>
      <c r="Q97" s="4"/>
      <c r="R97" s="4"/>
      <c r="S97" s="4"/>
      <c r="T97" s="4"/>
      <c r="U97" s="4"/>
      <c r="V97" s="4"/>
      <c r="W97" s="4"/>
      <c r="X97" s="4"/>
      <c r="Y97" s="4"/>
      <c r="Z97" s="4"/>
    </row>
    <row r="98" spans="1:26">
      <c r="A98" s="85" t="s">
        <v>204</v>
      </c>
      <c r="B98" s="90">
        <f>SUM(B95:B97)</f>
        <v>0</v>
      </c>
      <c r="C98" s="4"/>
      <c r="D98" s="4"/>
      <c r="E98" s="4"/>
      <c r="F98" s="4"/>
      <c r="G98" s="4"/>
      <c r="H98" s="4"/>
      <c r="I98" s="4"/>
      <c r="J98" s="4"/>
      <c r="K98" s="4"/>
      <c r="L98" s="4"/>
      <c r="M98" s="4"/>
      <c r="N98" s="4"/>
      <c r="O98" s="4"/>
      <c r="P98" s="4"/>
      <c r="Q98" s="4"/>
      <c r="R98" s="4"/>
      <c r="S98" s="4"/>
      <c r="T98" s="4"/>
      <c r="U98" s="4"/>
      <c r="V98" s="4"/>
      <c r="W98" s="4"/>
      <c r="X98" s="4"/>
      <c r="Y98" s="4"/>
      <c r="Z98" s="4"/>
    </row>
    <row r="99" spans="1:26">
      <c r="A99" s="85"/>
      <c r="B99" s="90"/>
      <c r="C99" s="4"/>
      <c r="D99" s="4"/>
      <c r="E99" s="4"/>
      <c r="F99" s="4"/>
      <c r="G99" s="4"/>
      <c r="H99" s="4"/>
      <c r="I99" s="4"/>
      <c r="J99" s="4"/>
      <c r="K99" s="4"/>
      <c r="L99" s="4"/>
      <c r="M99" s="4"/>
      <c r="N99" s="4"/>
      <c r="O99" s="4"/>
      <c r="P99" s="4"/>
      <c r="Q99" s="4"/>
      <c r="R99" s="4"/>
      <c r="S99" s="4"/>
      <c r="T99" s="4"/>
      <c r="U99" s="4"/>
      <c r="V99" s="4"/>
      <c r="W99" s="4"/>
      <c r="X99" s="4"/>
      <c r="Y99" s="4"/>
      <c r="Z99" s="4"/>
    </row>
    <row r="100" spans="1:26">
      <c r="A100" s="85" t="s">
        <v>205</v>
      </c>
      <c r="B100" s="88"/>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87" t="s">
        <v>206</v>
      </c>
      <c r="B101" s="88">
        <f>Assumptions!F106</f>
        <v>0</v>
      </c>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87" t="s">
        <v>107</v>
      </c>
      <c r="B102" s="88">
        <f>Assumptions!F107</f>
        <v>0</v>
      </c>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87" t="s">
        <v>103</v>
      </c>
      <c r="B103" s="88">
        <f>Assumptions!F108</f>
        <v>0</v>
      </c>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87" t="s">
        <v>109</v>
      </c>
      <c r="B104" s="88">
        <f>Assumptions!F109</f>
        <v>0</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87" t="s">
        <v>207</v>
      </c>
      <c r="B105" s="89">
        <f>Assumptions!F110</f>
        <v>0</v>
      </c>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85" t="s">
        <v>208</v>
      </c>
      <c r="B106" s="90">
        <f>SUM(B101:B105)</f>
        <v>0</v>
      </c>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85"/>
      <c r="B107" s="90"/>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85" t="s">
        <v>209</v>
      </c>
      <c r="B108" s="88"/>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87" t="s">
        <v>210</v>
      </c>
      <c r="B109" s="88">
        <f>Assumptions!F113</f>
        <v>0</v>
      </c>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87" t="s">
        <v>113</v>
      </c>
      <c r="B110" s="88">
        <f>Assumptions!F114</f>
        <v>0</v>
      </c>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87" t="s">
        <v>115</v>
      </c>
      <c r="B111" s="88">
        <f>Assumptions!F115</f>
        <v>0</v>
      </c>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85" t="s">
        <v>211</v>
      </c>
      <c r="B112" s="89">
        <f>SUM(B109:B111)</f>
        <v>0</v>
      </c>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87"/>
      <c r="B113" s="88"/>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85" t="s">
        <v>212</v>
      </c>
      <c r="B114" s="88"/>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45">
      <c r="A115" s="99" t="s">
        <v>213</v>
      </c>
      <c r="B115" s="88">
        <f>Assumptions!F118</f>
        <v>0</v>
      </c>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68" t="s">
        <v>119</v>
      </c>
      <c r="B116" s="88">
        <f>Assumptions!F119</f>
        <v>0</v>
      </c>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68" t="s">
        <v>120</v>
      </c>
      <c r="B117" s="88">
        <f>Assumptions!F120</f>
        <v>0</v>
      </c>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65" t="s">
        <v>122</v>
      </c>
      <c r="B118" s="88">
        <f>Assumptions!F121</f>
        <v>0</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65" t="s">
        <v>123</v>
      </c>
      <c r="B119" s="88">
        <f>Assumptions!F122</f>
        <v>0</v>
      </c>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65" t="s">
        <v>124</v>
      </c>
      <c r="B120" s="88">
        <f>Assumptions!F123</f>
        <v>0</v>
      </c>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65" t="s">
        <v>125</v>
      </c>
      <c r="B121" s="88">
        <f>Assumptions!F124</f>
        <v>0</v>
      </c>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65" t="s">
        <v>126</v>
      </c>
      <c r="B122" s="88">
        <f>Assumptions!F125</f>
        <v>0</v>
      </c>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65" t="s">
        <v>127</v>
      </c>
      <c r="B123" s="88">
        <f>Assumptions!F126</f>
        <v>0</v>
      </c>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65" t="s">
        <v>128</v>
      </c>
      <c r="B124" s="88">
        <f>Assumptions!F127</f>
        <v>0</v>
      </c>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65" t="s">
        <v>129</v>
      </c>
      <c r="B125" s="88">
        <f>Assumptions!F128</f>
        <v>0</v>
      </c>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65" t="s">
        <v>131</v>
      </c>
      <c r="B126" s="88">
        <f>Assumptions!F129</f>
        <v>0</v>
      </c>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65" t="s">
        <v>132</v>
      </c>
      <c r="B127" s="88">
        <f>Assumptions!F130</f>
        <v>0</v>
      </c>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65" t="s">
        <v>133</v>
      </c>
      <c r="B128" s="88">
        <f>Assumptions!F131</f>
        <v>0</v>
      </c>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65" t="s">
        <v>134</v>
      </c>
      <c r="B129" s="89">
        <f>Assumptions!F132</f>
        <v>0</v>
      </c>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85" t="s">
        <v>214</v>
      </c>
      <c r="B130" s="90">
        <f>SUM(B115:B129)</f>
        <v>0</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85"/>
      <c r="B131" s="90"/>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85" t="s">
        <v>215</v>
      </c>
      <c r="B132" s="88"/>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87" t="s">
        <v>136</v>
      </c>
      <c r="B133" s="88">
        <f>Assumptions!F135</f>
        <v>0</v>
      </c>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87" t="s">
        <v>137</v>
      </c>
      <c r="B134" s="89">
        <f>Assumptions!F136</f>
        <v>0</v>
      </c>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85" t="s">
        <v>216</v>
      </c>
      <c r="B135" s="90">
        <f>SUM(B133:B134)</f>
        <v>0</v>
      </c>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85"/>
      <c r="B136" s="90"/>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85" t="s">
        <v>217</v>
      </c>
      <c r="B137" s="8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87" t="s">
        <v>218</v>
      </c>
      <c r="B138" s="88">
        <f>IF(AND(Assumptions!$H139="Total"),Assumptions!F139,IF(AND(Assumptions!$H139="Per Pupil"),Assumptions!F139*Assumptions!F$22,0))</f>
        <v>7000</v>
      </c>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87" t="s">
        <v>219</v>
      </c>
      <c r="B139" s="88">
        <f>IF(AND(Assumptions!$H140="Total"),Assumptions!F140,IF(AND(Assumptions!$H140="Per Pupil"),Assumptions!F140*Assumptions!F$22,0))</f>
        <v>15000</v>
      </c>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65" t="s">
        <v>220</v>
      </c>
      <c r="B140" s="88">
        <f>IF(AND(Assumptions!$H141="Total"),Assumptions!F141,IF(AND(Assumptions!$H141="Per Pupil"),Assumptions!F141*Assumptions!F$22,0))</f>
        <v>15000</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87" t="s">
        <v>221</v>
      </c>
      <c r="B141" s="88">
        <f>IF(AND(Assumptions!$H142="Total"),Assumptions!F142,IF(AND(Assumptions!$H142="Per Pupil"),Assumptions!F142*Assumptions!F$22,0))</f>
        <v>25000</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87" t="s">
        <v>222</v>
      </c>
      <c r="B142" s="88">
        <f>IF(AND(Assumptions!$H143="Total"),Assumptions!F143,IF(AND(Assumptions!$H143="Per Pupil"),Assumptions!F143*Assumptions!F$22,0))</f>
        <v>125000</v>
      </c>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87" t="s">
        <v>223</v>
      </c>
      <c r="B143" s="88">
        <f>IF(AND(Assumptions!$H144="Total"),Assumptions!F144,IF(AND(Assumptions!$H144="Per Pupil"),Assumptions!F144*Assumptions!F$22,0))</f>
        <v>2500</v>
      </c>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87" t="s">
        <v>224</v>
      </c>
      <c r="B144" s="88">
        <f>IF(AND(Assumptions!$H145="Total"),Assumptions!F145,IF(AND(Assumptions!$H145="Per Pupil"),Assumptions!F145*Assumptions!F$22,0))</f>
        <v>6000</v>
      </c>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87" t="s">
        <v>225</v>
      </c>
      <c r="B145" s="88">
        <f>IF(AND(Assumptions!$H146="Total"),Assumptions!F146,IF(AND(Assumptions!$H146="Per Pupil"),Assumptions!F146*Assumptions!F$22,0))</f>
        <v>100000</v>
      </c>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87" t="s">
        <v>226</v>
      </c>
      <c r="B146" s="88">
        <f>IF(AND(Assumptions!$H149="Total"),Assumptions!F149,IF(AND(Assumptions!$H149="Per Pupil"),Assumptions!F149*Assumptions!F$22,0))</f>
        <v>1809819</v>
      </c>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87" t="s">
        <v>227</v>
      </c>
      <c r="B147" s="88">
        <f>IF(AND(Assumptions!$H151="Total"),Assumptions!F151,IF(AND(Assumptions!$H151="Per Pupil"),Assumptions!F151*Assumptions!F$22,0))</f>
        <v>0</v>
      </c>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87" t="s">
        <v>228</v>
      </c>
      <c r="B148" s="88">
        <f>IF(AND(Assumptions!$H152="Total"),Assumptions!F152,IF(AND(Assumptions!$H152="Per Pupil"),Assumptions!F152*Assumptions!F$22,0))</f>
        <v>0</v>
      </c>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87" t="s">
        <v>229</v>
      </c>
      <c r="B149" s="88">
        <f>IF(AND(Assumptions!$H153="Total"),Assumptions!F153,IF(AND(Assumptions!$H153="Per Pupil"),Assumptions!F153*Assumptions!F$22,0))</f>
        <v>50000</v>
      </c>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87" t="s">
        <v>230</v>
      </c>
      <c r="B150" s="88">
        <f>IF(AND(Assumptions!$H154="Total"),Assumptions!F154,IF(AND(Assumptions!$H154="Per Pupil"),Assumptions!F154*Assumptions!F$22,0))</f>
        <v>72000</v>
      </c>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87" t="s">
        <v>231</v>
      </c>
      <c r="B151" s="88">
        <f>IF(AND(Assumptions!$H155="Total"),Assumptions!F155,IF(AND(Assumptions!$H155="Per Pupil"),Assumptions!F155*Assumptions!F$22,0))</f>
        <v>13500</v>
      </c>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87" t="s">
        <v>232</v>
      </c>
      <c r="B152" s="88">
        <f>IF(AND(Assumptions!$H156="Total"),Assumptions!F156,IF(AND(Assumptions!$H156="Per Pupil"),Assumptions!F156*Assumptions!F$22,0))</f>
        <v>1450</v>
      </c>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87" t="s">
        <v>233</v>
      </c>
      <c r="B153" s="88">
        <f>IF(AND(Assumptions!$H157="Total"),Assumptions!F157,IF(AND(Assumptions!$H157="Per Pupil"),Assumptions!F157*Assumptions!F$22,0))</f>
        <v>21000</v>
      </c>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87" t="s">
        <v>234</v>
      </c>
      <c r="B154" s="88">
        <f>IF(AND(Assumptions!$H158="Total"),Assumptions!F158,IF(AND(Assumptions!$H158="Per Pupil"),Assumptions!F158*Assumptions!F$22,0))</f>
        <v>15000</v>
      </c>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87" t="s">
        <v>235</v>
      </c>
      <c r="B155" s="88">
        <f>IF(AND(Assumptions!$H159="Total"),Assumptions!F159,IF(AND(Assumptions!$H159="Per Pupil"),Assumptions!F159*Assumptions!F$22,0))</f>
        <v>6000</v>
      </c>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87" t="s">
        <v>236</v>
      </c>
      <c r="B156" s="88">
        <f>IF(AND(Assumptions!$H160="Total"),Assumptions!F160,IF(AND(Assumptions!$H160="Per Pupil"),Assumptions!F160*Assumptions!F$22,0))</f>
        <v>1100</v>
      </c>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87" t="s">
        <v>237</v>
      </c>
      <c r="B157" s="88">
        <f>IF(AND(Assumptions!$H161="Total"),Assumptions!F161,IF(AND(Assumptions!$H161="Per Pupil"),Assumptions!F161*Assumptions!F$22,0))</f>
        <v>10000</v>
      </c>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87" t="str">
        <f>Assumptions!A162</f>
        <v>Oasis HR Services</v>
      </c>
      <c r="B158" s="88">
        <f>IF(AND(Assumptions!$H162="Total"),Assumptions!F162,IF(AND(Assumptions!$H162="Per Pupil"),Assumptions!F162*Assumptions!F$22,0))</f>
        <v>57000</v>
      </c>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87" t="str">
        <f>Assumptions!A163</f>
        <v>Audit Fees</v>
      </c>
      <c r="B159" s="88">
        <f>IF(AND(Assumptions!$H163="Total"),Assumptions!F163,IF(AND(Assumptions!$H163="Per Pupil"),Assumptions!F163*Assumptions!F$22,0))</f>
        <v>12500</v>
      </c>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87" t="str">
        <f>Assumptions!A164</f>
        <v>Accounting Fees</v>
      </c>
      <c r="B160" s="88">
        <f>IF(AND(Assumptions!$H164="Total"),Assumptions!F164,IF(AND(Assumptions!$H164="Per Pupil"),Assumptions!F164*Assumptions!F$22,0))</f>
        <v>25000</v>
      </c>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87" t="str">
        <f>Assumptions!A165</f>
        <v>Other</v>
      </c>
      <c r="B161" s="88">
        <f>IF(AND(Assumptions!$H165="Total"),Assumptions!F165,IF(AND(Assumptions!$H165="Per Pupil"),Assumptions!F165*Assumptions!F$22,0))</f>
        <v>0</v>
      </c>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87" t="str">
        <f>Assumptions!A166</f>
        <v>IT Services</v>
      </c>
      <c r="B162" s="88">
        <f>IF(AND(Assumptions!$H166="Total"),Assumptions!F166,IF(AND(Assumptions!$H166="Per Pupil"),Assumptions!F166*Assumptions!F$22,0))</f>
        <v>30000</v>
      </c>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87" t="str">
        <f>Assumptions!A167</f>
        <v>Special Education Contracted Services</v>
      </c>
      <c r="B163" s="88">
        <f>IF(AND(Assumptions!$H167="Total"),Assumptions!F167,IF(AND(Assumptions!$H167="Per Pupil"),Assumptions!F167*Assumptions!F$22,0))</f>
        <v>215000</v>
      </c>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87" t="str">
        <f>Assumptions!A168</f>
        <v>Other</v>
      </c>
      <c r="B164" s="88">
        <f>IF(AND(Assumptions!$H168="Total"),Assumptions!F168,IF(AND(Assumptions!$H168="Per Pupil"),Assumptions!F168*Assumptions!F$22,0))</f>
        <v>0</v>
      </c>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87" t="str">
        <f>Assumptions!A169</f>
        <v>Other</v>
      </c>
      <c r="B165" s="89">
        <f>IF(AND(Assumptions!$H169="Total"),Assumptions!F169,IF(AND(Assumptions!$H169="Per Pupil"),Assumptions!F169*Assumptions!F$22,0))</f>
        <v>0</v>
      </c>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85" t="s">
        <v>238</v>
      </c>
      <c r="B166" s="90">
        <f>SUM(B138:B165)</f>
        <v>2634869</v>
      </c>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85"/>
      <c r="B167" s="90"/>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85" t="s">
        <v>239</v>
      </c>
      <c r="B168" s="88"/>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87" t="s">
        <v>240</v>
      </c>
      <c r="B169" s="88">
        <f>Assumptions!F172</f>
        <v>80000</v>
      </c>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87" t="s">
        <v>241</v>
      </c>
      <c r="B170" s="88">
        <f>Assumptions!F173</f>
        <v>28000</v>
      </c>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87" t="s">
        <v>242</v>
      </c>
      <c r="B171" s="88">
        <f>Assumptions!F174</f>
        <v>50000</v>
      </c>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87" t="s">
        <v>243</v>
      </c>
      <c r="B172" s="88">
        <f>Assumptions!F175</f>
        <v>11000</v>
      </c>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87" t="s">
        <v>244</v>
      </c>
      <c r="B173" s="89">
        <f>Assumptions!F176</f>
        <v>0</v>
      </c>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85" t="s">
        <v>245</v>
      </c>
      <c r="B174" s="90">
        <f>SUM(B169:B173)</f>
        <v>169000</v>
      </c>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85"/>
      <c r="B175" s="90"/>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85" t="s">
        <v>246</v>
      </c>
      <c r="B176" s="90"/>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87" t="s">
        <v>247</v>
      </c>
      <c r="B177" s="88">
        <f>Assumptions!F179</f>
        <v>2500</v>
      </c>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87" t="s">
        <v>248</v>
      </c>
      <c r="B178" s="88">
        <f>Assumptions!F180</f>
        <v>0</v>
      </c>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87" t="s">
        <v>249</v>
      </c>
      <c r="B179" s="88">
        <f>Assumptions!F181</f>
        <v>0</v>
      </c>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87" t="s">
        <v>250</v>
      </c>
      <c r="B180" s="89">
        <f>Assumptions!F182</f>
        <v>2500</v>
      </c>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85" t="s">
        <v>251</v>
      </c>
      <c r="B181" s="90">
        <f>SUM(B177:B180)</f>
        <v>5000</v>
      </c>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85"/>
      <c r="B182" s="90"/>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85" t="s">
        <v>252</v>
      </c>
      <c r="B183" s="90"/>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87" t="s">
        <v>253</v>
      </c>
      <c r="B184" s="88">
        <f>Assumptions!F185</f>
        <v>7388.415</v>
      </c>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87" t="s">
        <v>254</v>
      </c>
      <c r="B185" s="89">
        <f>Assumptions!F186</f>
        <v>0</v>
      </c>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85" t="s">
        <v>255</v>
      </c>
      <c r="B186" s="90">
        <f>SUM(B184:B185)</f>
        <v>7388.415</v>
      </c>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85"/>
      <c r="B187" s="90"/>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 r="A188" s="100" t="s">
        <v>256</v>
      </c>
      <c r="B188" s="92">
        <f>B186+B181+B174+B166+B135+B130+B112+B106+B98+B92+B86+B80+B75+B67+B55</f>
        <v>8124019.8030900005</v>
      </c>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23"/>
      <c r="B189" s="90"/>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23" t="s">
        <v>257</v>
      </c>
      <c r="B190" s="101"/>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87"/>
      <c r="B191" s="88"/>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 r="A192" s="102" t="s">
        <v>258</v>
      </c>
      <c r="B192" s="90">
        <f>B28-B188-B190</f>
        <v>1216081.1969099995</v>
      </c>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30">
      <c r="A193" s="103" t="s">
        <v>259</v>
      </c>
      <c r="B193" s="88">
        <f>(B28-B26)*0.03-B196</f>
        <v>19628.369999999966</v>
      </c>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104" t="s">
        <v>260</v>
      </c>
      <c r="B194" s="88">
        <f>B192-B193</f>
        <v>1196452.8269099996</v>
      </c>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105"/>
      <c r="B195" s="88"/>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106" t="s">
        <v>261</v>
      </c>
      <c r="B196" s="90">
        <f>'Year 3'!B197</f>
        <v>260574.66</v>
      </c>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106" t="s">
        <v>262</v>
      </c>
      <c r="B197" s="90">
        <f>B193+B196</f>
        <v>280203.02999999997</v>
      </c>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105"/>
      <c r="B198" s="8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106" t="s">
        <v>263</v>
      </c>
      <c r="B199" s="90">
        <f>'Year 3'!B200</f>
        <v>1793213.3094999995</v>
      </c>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106" t="s">
        <v>264</v>
      </c>
      <c r="B200" s="90">
        <f>B199+B192</f>
        <v>3009294.506409999</v>
      </c>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87"/>
      <c r="B201" s="88"/>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87"/>
      <c r="B202" s="88"/>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85"/>
      <c r="B203" s="90"/>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85"/>
      <c r="B204" s="90"/>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85"/>
      <c r="B205" s="90"/>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87"/>
      <c r="B206" s="88"/>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87"/>
      <c r="B207" s="88"/>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85"/>
      <c r="B208" s="90"/>
      <c r="C208" s="4"/>
      <c r="D208" s="4"/>
      <c r="E208" s="4"/>
      <c r="F208" s="4"/>
      <c r="G208" s="4"/>
      <c r="H208" s="4"/>
      <c r="I208" s="4"/>
      <c r="J208" s="4"/>
      <c r="K208" s="4"/>
      <c r="L208" s="4"/>
      <c r="M208" s="4"/>
      <c r="N208" s="4"/>
      <c r="O208" s="4"/>
      <c r="P208" s="4"/>
      <c r="Q208" s="4"/>
      <c r="R208" s="4"/>
      <c r="S208" s="4"/>
      <c r="T208" s="4"/>
      <c r="U208" s="4"/>
      <c r="V208" s="4"/>
      <c r="W208" s="76" t="e">
        <f>(SUM(Assumptions!F69:F77,Assumptions!F80:F84,Assumptions!F87:F88,Assumptions!F91:F93,Assumptions!F96:F98,Assumptions!F101:F103,Assumptions!F106:F106,Assumptions!#REF!,Assumptions!#REF!,Assumptions!#REF!,Assumptions!F107:F110,Assumptions!F113:F118,Assumptions!F135:F136,Assumptions!F172:F176,Assumptions!F179:F182,Assumptions!F185:F186)+IF(AND(Assumptions!$H139="Total"),Assumptions!F139,IF(AND(Assumptions!$H139="Per Pupil"),Assumptions!F139*Assumptions!F$22,0))+IF(AND(Assumptions!$H140="Total"),Assumptions!F140,IF(AND(Assumptions!$H140="Per Pupil"),Assumptions!F140*Assumptions!F$22,0))+IF(AND(Assumptions!$H141="Total"),Assumptions!F141,IF(AND(Assumptions!$H141="Per Pupil"),Assumptions!F141*Assumptions!F$22,0))+IF(AND(Assumptions!$H142="Total"),Assumptions!F142,IF(AND(Assumptions!$H142="Per Pupil"),Assumptions!F142*Assumptions!F$22,0))+IF(AND(Assumptions!$H143="Total"),Assumptions!F143,IF(AND(Assumptions!$H143="Per Pupil"),Assumptions!F143*Assumptions!F$22,0))+IF(AND(Assumptions!$H144="Total"),Assumptions!F144,IF(AND(Assumptions!$H144="Per Pupil"),Assumptions!F144*Assumptions!F$22,0))+IF(AND(Assumptions!$H145="Total"),Assumptions!F145,IF(AND(Assumptions!$H145="Per Pupil"),Assumptions!F145*Assumptions!F$22,0))+IF(AND(Assumptions!$H146="Total"),Assumptions!F146,IF(AND(Assumptions!$H146="Per Pupil"),Assumptions!F146*Assumptions!F$22,0))+IF(AND(Assumptions!$H149="Total"),Assumptions!F149,IF(AND(Assumptions!$H149="Per Pupil"),Assumptions!F149*Assumptions!F$22,0))+IF(AND(Assumptions!$H151="Total"),Assumptions!F151,IF(AND(Assumptions!$H151="Per Pupil"),Assumptions!F151*Assumptions!F$22,0))+IF(AND(Assumptions!$H152="Total"),Assumptions!F152,IF(AND(Assumptions!$H152="Per Pupil"),Assumptions!F152*Assumptions!F$22,0))+IF(AND(Assumptions!$H153="Total"),Assumptions!F153,IF(AND(Assumptions!$H153="Per Pupil"),Assumptions!F153*Assumptions!F$22,0))+IF(AND(Assumptions!$H154="Total"),Assumptions!F154,IF(AND(Assumptions!$H154="Per Pupil"),Assumptions!F154*Assumptions!F$22,0))+IF(AND(Assumptions!$H155="Total"),Assumptions!F155,IF(AND(Assumptions!$H155="Per Pupil"),Assumptions!F155*Assumptions!F$22,0))+IF(AND(Assumptions!$H156="Total"),Assumptions!F156,IF(AND(Assumptions!$H156="Per Pupil"),Assumptions!F156*Assumptions!F$22,0))+IF(AND(Assumptions!$H157="Total"),Assumptions!F157,IF(AND(Assumptions!$H157="Per Pupil"),Assumptions!F157*Assumptions!F$22,0))+IF(AND(Assumptions!$H158="Total"),Assumptions!F158,IF(AND(Assumptions!$H158="Per Pupil"),Assumptions!F158*Assumptions!F$22,0))+IF(AND(Assumptions!$H159="Total"),Assumptions!F159,IF(AND(Assumptions!$H159="Per Pupil"),Assumptions!F159*Assumptions!F$22,0))+IF(AND(Assumptions!$H160="Total"),Assumptions!F160,IF(AND(Assumptions!$H160="Per Pupil"),Assumptions!F160*Assumptions!F$22,0))+IF(AND(Assumptions!$H161="Total"),Assumptions!F161,IF(AND(Assumptions!$H161="Per Pupil"),Assumptions!F161*Assumptions!F$22,0))+IF(AND(Assumptions!$H162="Total"),Assumptions!F162,IF(AND(Assumptions!$H162="Per Pupil"),Assumptions!F162*Assumptions!F$22,0))+IF(AND(Assumptions!$H163="Total"),Assumptions!F163,IF(AND(Assumptions!$H163="Per Pupil"),Assumptions!F163*Assumptions!F$22,0))+IF(AND(Assumptions!$H164="Total"),Assumptions!F164,IF(AND(Assumptions!$H164="Per Pupil"),Assumptions!F164*Assumptions!F$22,0))+IF(AND(Assumptions!$H165="Total"),Assumptions!F165,IF(AND(Assumptions!$H165="Per Pupil"),Assumptions!F165*Assumptions!F$22,0))+IF(AND(Assumptions!$H166="Total"),Assumptions!F166,IF(AND(Assumptions!$H166="Per Pupil"),Assumptions!F166*Assumptions!F$22,0))+IF(AND(Assumptions!$H167="Total"),Assumptions!F167,IF(AND(Assumptions!$H167="Per Pupil"),Assumptions!F167*Assumptions!F$22,0))+IF(AND(Assumptions!$H168="Total"),Assumptions!F168,IF(AND(Assumptions!$H168="Per Pupil"),Assumptions!F168*Assumptions!F$22,0))+IF(AND(Assumptions!$H169="Total"),Assumptions!F169,IF(AND(Assumptions!$H169="Per Pupil"),Assumptions!F169*Assumptions!F$22,0)))-($B$210-$B$55)</f>
        <v>#REF!</v>
      </c>
      <c r="X208" s="76"/>
      <c r="Y208" s="4"/>
      <c r="Z208" s="4"/>
    </row>
    <row r="209" spans="1:26">
      <c r="A209" s="85"/>
      <c r="B209" s="90"/>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 r="A210" s="108"/>
      <c r="B210" s="90"/>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23"/>
      <c r="B211" s="90"/>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23"/>
      <c r="B212" s="90"/>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87"/>
      <c r="B213" s="88"/>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 r="A214" s="109"/>
      <c r="B214" s="110"/>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111"/>
      <c r="B215" s="112"/>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111"/>
      <c r="B216" s="112"/>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11"/>
      <c r="B217" s="112"/>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10"/>
      <c r="B218" s="110"/>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10"/>
      <c r="B219" s="110"/>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B1"/>
    <mergeCell ref="A2:B2"/>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Staffing</vt:lpstr>
      <vt:lpstr>Purchased Services Master</vt:lpstr>
      <vt:lpstr>Assumptions</vt:lpstr>
      <vt:lpstr>Year 0</vt:lpstr>
      <vt:lpstr>Year 1</vt:lpstr>
      <vt:lpstr>Year 2</vt:lpstr>
      <vt:lpstr>Year 3</vt:lpstr>
      <vt:lpstr>Year 4</vt:lpstr>
      <vt:lpstr>Year 5</vt:lpstr>
      <vt:lpstr>Summary Years 0 - 5</vt:lpstr>
      <vt:lpstr>Cash Flow Year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Determan</dc:creator>
  <cp:lastModifiedBy>Katie Determan</cp:lastModifiedBy>
  <dcterms:created xsi:type="dcterms:W3CDTF">2018-03-12T17:22:49Z</dcterms:created>
  <dcterms:modified xsi:type="dcterms:W3CDTF">2018-03-14T16:36:41Z</dcterms:modified>
</cp:coreProperties>
</file>